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Goerlitz\Desktop\"/>
    </mc:Choice>
  </mc:AlternateContent>
  <xr:revisionPtr revIDLastSave="0" documentId="8_{CA9436E2-7EB4-4747-B3D8-2E7298BE411C}" xr6:coauthVersionLast="46" xr6:coauthVersionMax="46" xr10:uidLastSave="{00000000-0000-0000-0000-000000000000}"/>
  <bookViews>
    <workbookView xWindow="-120" yWindow="-120" windowWidth="29040" windowHeight="15990" tabRatio="789" activeTab="7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7" l="1"/>
  <c r="S26" i="7"/>
  <c r="T26" i="7"/>
  <c r="U26" i="7"/>
  <c r="V26" i="7"/>
  <c r="W26" i="7"/>
  <c r="X26" i="7" l="1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F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G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F53" i="18" l="1"/>
  <c r="M53" i="18"/>
  <c r="J53" i="18"/>
  <c r="E53" i="18"/>
  <c r="K53" i="18"/>
  <c r="M63" i="18"/>
  <c r="I63" i="18"/>
  <c r="N63" i="18"/>
  <c r="I53" i="18"/>
  <c r="N53" i="18"/>
  <c r="E63" i="18"/>
  <c r="J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E31" i="18" s="1"/>
  <c r="M31" i="18"/>
  <c r="I31" i="18"/>
  <c r="H53" i="18"/>
  <c r="D56" i="18" s="1"/>
  <c r="J55" i="18" s="1"/>
  <c r="H63" i="18"/>
  <c r="D24" i="15"/>
  <c r="C23" i="15"/>
  <c r="D66" i="18" l="1"/>
  <c r="N65" i="18" s="1"/>
  <c r="J65" i="18"/>
  <c r="H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G65" i="18" l="1"/>
  <c r="F65" i="18"/>
  <c r="K65" i="18"/>
  <c r="E55" i="18"/>
  <c r="M65" i="18"/>
  <c r="L65" i="18"/>
  <c r="I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4" i="7" s="1"/>
  <c r="H21" i="4"/>
  <c r="V24" i="7" s="1"/>
  <c r="G21" i="4"/>
  <c r="U24" i="7" s="1"/>
  <c r="F21" i="4"/>
  <c r="T24" i="7" s="1"/>
  <c r="E21" i="4"/>
  <c r="S24" i="7" s="1"/>
  <c r="D21" i="4"/>
  <c r="R24" i="7" s="1"/>
  <c r="X24" i="7" s="1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26" i="7" l="1"/>
  <c r="K26" i="7"/>
  <c r="O26" i="7"/>
  <c r="H26" i="7"/>
  <c r="L26" i="7"/>
  <c r="P26" i="7"/>
  <c r="I26" i="7"/>
  <c r="M26" i="7"/>
  <c r="J26" i="7"/>
  <c r="N26" i="7"/>
  <c r="K13" i="7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26" i="7" l="1"/>
  <c r="Q18" i="7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<sst xmlns="http://schemas.openxmlformats.org/spreadsheetml/2006/main" count="1379" uniqueCount="683">
  <si>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</si>
  <si>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</si>
  <si>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</si>
  <si>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</si>
  <si>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</si>
  <si>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</si>
  <si>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</si>
  <si>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</si>
  <si>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</si>
  <si>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</si>
  <si>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</si>
  <si>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</si>
  <si>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</si>
  <si>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</si>
  <si>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</si>
  <si>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</si>
  <si>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</si>
  <si>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</si>
  <si>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</si>
  <si>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</si>
  <si>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</si>
  <si>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</si>
  <si>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</si>
  <si>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</si>
  <si>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</si>
  <si>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</si>
  <si>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</si>
  <si>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</si>
  <si>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</si>
  <si>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</si>
  <si>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</si>
  <si>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</si>
  <si>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</si>
  <si>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</si>
  <si>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</si>
  <si>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</si>
  <si>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</si>
  <si>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</si>
  <si>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</si>
  <si>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</si>
  <si>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</si>
  <si>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</si>
  <si>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</si>
  <si>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</si>
  <si>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</si>
  <si>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</si>
  <si>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</si>
  <si>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</si>
  <si>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</si>
  <si>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</si>
  <si>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</si>
  <si>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</si>
  <si>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</si>
  <si>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</si>
  <si>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</si>
  <si>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</si>
  <si>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</si>
  <si>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</si>
  <si>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</si>
  <si>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</si>
  <si>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</si>
  <si>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</si>
  <si>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</si>
  <si>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</si>
  <si>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</si>
  <si>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</si>
  <si>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</si>
  <si>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</si>
  <si>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</si>
  <si>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</si>
  <si>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</si>
  <si>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</si>
  <si>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</si>
  <si>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</si>
  <si>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</si>
  <si>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</si>
  <si>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</si>
  <si>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</si>
  <si>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</si>
  <si>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</si>
  <si>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</si>
  <si>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</si>
  <si>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</si>
  <si>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</si>
  <si>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</si>
  <si>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</si>
  <si>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</si>
  <si>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</si>
  <si>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</si>
  <si>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</si>
  <si>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</si>
  <si>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</si>
  <si>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</si>
  <si>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</si>
  <si>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</si>
  <si>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</si>
  <si>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</si>
  <si>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</si>
  <si>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</si>
  <si>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</si>
  <si>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</si>
  <si>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</si>
  <si>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</si>
  <si>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</si>
  <si>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</si>
  <si>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</si>
  <si>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</si>
  <si>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</si>
  <si>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</si>
  <si>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</si>
  <si>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</si>
  <si>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</si>
  <si>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</si>
  <si>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</si>
  <si>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</si>
  <si>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</si>
  <si>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</si>
  <si>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</si>
  <si>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</si>
  <si>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</si>
  <si>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</si>
  <si>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</si>
  <si>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</si>
  <si>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</si>
  <si>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</si>
  <si>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</si>
  <si>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</si>
  <si>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</si>
  <si>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</si>
  <si>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</si>
  <si>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</si>
  <si>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</si>
  <si>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</si>
  <si>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</si>
  <si>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</si>
  <si>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</si>
  <si>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</si>
  <si>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</si>
  <si>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</si>
  <si>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</si>
  <si>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</si>
  <si>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</si>
  <si>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</si>
  <si>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</si>
  <si>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</si>
  <si>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</si>
  <si>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</si>
  <si>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</si>
  <si>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</si>
  <si>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</si>
  <si>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</si>
  <si>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</si>
  <si>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</si>
  <si>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</si>
  <si>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</si>
  <si>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</si>
  <si>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</si>
  <si>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</si>
  <si>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</si>
  <si>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</si>
  <si>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</si>
  <si>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</si>
  <si>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</si>
  <si>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</si>
  <si>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</si>
  <si>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</si>
  <si>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</si>
  <si>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</si>
  <si>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</si>
  <si>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</si>
  <si>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</si>
  <si>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</si>
  <si>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</si>
  <si>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</si>
  <si>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</si>
  <si>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</si>
  <si>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</si>
  <si>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</si>
  <si>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</si>
  <si>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</si>
  <si>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</si>
  <si>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</si>
  <si>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</si>
  <si>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</si>
  <si>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</si>
  <si>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</si>
  <si>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</si>
  <si>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</si>
  <si>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</si>
  <si>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</si>
  <si>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</si>
  <si>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</si>
  <si>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</si>
  <si>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</si>
  <si>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</si>
  <si>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</si>
  <si>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</si>
  <si>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</si>
  <si>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</si>
  <si>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</si>
  <si>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</si>
  <si>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</si>
  <si>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</si>
  <si>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</si>
  <si>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</si>
  <si>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</si>
  <si>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</si>
  <si>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</si>
  <si>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</si>
  <si>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</si>
  <si>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</si>
  <si>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</si>
  <si>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</si>
  <si>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</si>
  <si>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</si>
  <si>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</si>
  <si>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</si>
  <si>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</si>
  <si>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</si>
  <si>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</si>
  <si>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</si>
  <si>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</si>
  <si>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</si>
  <si>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</si>
  <si>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</si>
  <si>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</si>
  <si>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</si>
  <si>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</si>
  <si>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</si>
  <si>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</si>
  <si>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</si>
  <si>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</si>
  <si>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</si>
  <si>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</si>
  <si>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</si>
  <si>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</si>
  <si>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</si>
  <si>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</si>
  <si>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</si>
  <si>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</si>
  <si>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</si>
  <si>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</si>
  <si>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</si>
  <si>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</si>
  <si>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</si>
  <si>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</si>
  <si>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</si>
  <si>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</si>
  <si>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</si>
  <si>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</si>
  <si>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</si>
  <si>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</si>
  <si>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</si>
  <si>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</si>
  <si>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</si>
  <si>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</si>
  <si>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</si>
  <si>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</si>
  <si>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</si>
  <si>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</si>
  <si>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</si>
  <si>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</si>
  <si>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</si>
  <si>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</si>
  <si>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</si>
  <si>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</si>
  <si>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</si>
  <si>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</si>
  <si>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</si>
  <si>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</si>
  <si>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</si>
  <si>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</si>
  <si>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</si>
  <si>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</si>
  <si>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</si>
  <si>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</si>
  <si>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</si>
  <si>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</si>
  <si>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</si>
  <si>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</si>
  <si>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</si>
  <si>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</si>
  <si>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</si>
  <si>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</si>
  <si>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</si>
  <si>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</si>
  <si>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</si>
  <si>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</si>
  <si>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</si>
  <si>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</si>
  <si>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</si>
  <si>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</si>
  <si>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</si>
  <si>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</si>
  <si>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</si>
  <si>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</si>
  <si>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</si>
  <si>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</si>
  <si>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</si>
  <si>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</si>
  <si>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</si>
  <si>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</si>
  <si>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</si>
  <si>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</si>
  <si>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</si>
  <si>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</si>
  <si>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</si>
  <si>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</si>
  <si>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</si>
  <si>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</si>
  <si>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</si>
  <si>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</si>
  <si>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</si>
  <si>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</si>
  <si>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</si>
  <si>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</si>
  <si>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</si>
  <si>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</si>
  <si>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</si>
  <si>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</si>
  <si>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</si>
  <si>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</si>
  <si>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</si>
  <si>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</si>
  <si>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</si>
  <si>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</si>
  <si>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</si>
  <si>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</si>
  <si>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</si>
  <si>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</si>
  <si>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</si>
  <si>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</si>
  <si>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</si>
  <si>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</si>
  <si>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</si>
  <si>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</si>
  <si>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</si>
  <si>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</si>
  <si>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</si>
  <si>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</si>
  <si>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</si>
  <si>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</si>
  <si>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</si>
  <si>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</si>
  <si>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</si>
  <si>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</si>
  <si>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</si>
  <si>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</si>
  <si>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</si>
  <si>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</si>
  <si>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</si>
  <si>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</si>
  <si>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</si>
  <si>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</si>
  <si>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</si>
  <si>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</si>
  <si>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</si>
  <si>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</si>
  <si>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</si>
  <si>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</si>
  <si>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</si>
  <si>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</si>
  <si>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</si>
  <si>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</si>
  <si>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</si>
  <si>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</si>
  <si>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</si>
  <si>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</si>
  <si>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</si>
  <si>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</si>
  <si>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</si>
  <si>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</si>
  <si>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</si>
  <si>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</si>
  <si>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</si>
  <si>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</si>
  <si>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</si>
  <si>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</si>
  <si>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</si>
  <si>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</si>
  <si>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</si>
  <si>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</si>
  <si>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</si>
  <si>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</si>
  <si>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</si>
  <si>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</si>
  <si>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</si>
  <si>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</si>
  <si>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</si>
  <si>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</si>
  <si>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</si>
  <si>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</si>
  <si>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</si>
  <si>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</si>
  <si>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</si>
  <si>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</si>
  <si>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</si>
  <si>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</si>
  <si>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</si>
  <si>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</si>
  <si>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</si>
  <si>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</si>
  <si>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</si>
  <si>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</si>
  <si>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</si>
  <si>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</si>
  <si>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</si>
  <si>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</si>
  <si>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</si>
  <si>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</si>
  <si>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</si>
  <si>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</si>
  <si>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</si>
  <si>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</si>
  <si>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</si>
  <si>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</si>
  <si>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</si>
  <si>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</si>
  <si>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</si>
  <si>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</si>
  <si>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</si>
  <si>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</si>
  <si>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</si>
  <si>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</si>
  <si>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</si>
  <si>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</si>
  <si>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</si>
  <si>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</si>
  <si>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</si>
  <si>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</si>
  <si>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</si>
  <si>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</si>
  <si>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</si>
  <si>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</si>
  <si>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</si>
  <si>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</si>
  <si>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</si>
  <si>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</si>
  <si>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</si>
  <si>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</si>
  <si>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</si>
  <si>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</si>
  <si>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</si>
  <si>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</si>
  <si>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</si>
  <si>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</si>
  <si>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</si>
  <si>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</si>
  <si>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</si>
  <si>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</si>
  <si>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</si>
  <si>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</si>
  <si>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</si>
  <si>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</si>
  <si>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</si>
  <si>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</si>
  <si>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</si>
  <si>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</si>
  <si>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</si>
  <si>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</si>
  <si>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</si>
  <si>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</si>
  <si>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</si>
  <si>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</si>
  <si>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</si>
  <si>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</si>
  <si>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</si>
  <si>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</si>
  <si>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</si>
  <si>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</si>
  <si>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</si>
  <si>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</si>
  <si>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</si>
  <si>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</si>
  <si>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</si>
  <si>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</si>
  <si>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</si>
  <si>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</si>
  <si>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</si>
  <si>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</si>
  <si>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</si>
  <si>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</si>
  <si>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</si>
  <si>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</si>
  <si>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</si>
  <si>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</si>
  <si>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</si>
  <si>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</si>
  <si>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</si>
  <si>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</si>
  <si>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</si>
  <si>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</si>
  <si>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</si>
  <si>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</si>
  <si>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</si>
  <si>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</si>
  <si>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</si>
  <si>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</si>
  <si>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</si>
  <si>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</si>
  <si>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</si>
  <si>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</si>
  <si>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</si>
  <si>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</si>
  <si>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</si>
  <si>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</si>
  <si>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</si>
  <si>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</si>
  <si>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</si>
  <si>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</si>
  <si>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</si>
  <si>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</si>
  <si>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</si>
  <si>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</si>
  <si>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</si>
  <si>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</si>
  <si>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</si>
  <si>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</si>
  <si>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</si>
  <si>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</si>
  <si>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</si>
  <si>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</si>
  <si>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</si>
  <si>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</si>
  <si>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</si>
  <si>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</si>
  <si>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</si>
  <si>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</si>
  <si>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</si>
  <si>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</si>
  <si>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</si>
  <si>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</si>
  <si>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</si>
  <si>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</si>
  <si>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</si>
  <si>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</si>
  <si>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</si>
  <si>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</si>
  <si>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</si>
  <si>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</si>
  <si>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</si>
  <si>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</si>
  <si>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</si>
  <si>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</si>
  <si>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</si>
  <si>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</si>
  <si>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</si>
  <si>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</si>
  <si>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</si>
  <si>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</si>
  <si>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</si>
  <si>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</si>
  <si>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</si>
  <si>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</si>
  <si>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</si>
  <si>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</si>
  <si>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</si>
  <si>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</si>
  <si>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</si>
  <si>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</si>
  <si>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</si>
  <si>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</si>
  <si>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</si>
  <si>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</si>
  <si>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</si>
  <si>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</si>
  <si>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</si>
  <si>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</si>
  <si>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</si>
  <si>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</si>
  <si>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</si>
  <si>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</si>
  <si>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</si>
  <si>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</si>
  <si>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</si>
  <si>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</si>
  <si>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</si>
  <si>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</si>
  <si>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</si>
  <si>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</si>
  <si>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</si>
  <si>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</si>
  <si>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</si>
  <si>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</si>
  <si>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</si>
  <si>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</si>
  <si>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</si>
  <si>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</si>
  <si>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</si>
  <si>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</si>
  <si>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</si>
  <si>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</si>
  <si>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</si>
  <si>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</si>
  <si>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</si>
  <si>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</si>
  <si>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</si>
  <si>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</si>
  <si>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</si>
  <si>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</si>
  <si>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</si>
  <si>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</si>
  <si>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</si>
  <si>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</si>
  <si>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</si>
  <si>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</si>
  <si>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</si>
  <si>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</si>
  <si>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</si>
  <si>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</si>
  <si>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</si>
  <si>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</si>
  <si>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</si>
  <si>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</si>
  <si>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</si>
  <si>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</si>
  <si>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</si>
  <si>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</si>
  <si>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</si>
  <si>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</si>
  <si>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</si>
  <si>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</si>
  <si>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</si>
  <si>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</si>
  <si>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</si>
  <si>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</si>
  <si>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</si>
  <si>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</si>
  <si>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</si>
  <si>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</si>
  <si>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</si>
  <si>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</si>
  <si>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</si>
  <si>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</si>
  <si>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</si>
  <si>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</si>
  <si>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</si>
  <si>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</si>
  <si>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</si>
  <si>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</si>
  <si>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</si>
  <si>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</si>
  <si>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</si>
  <si>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</si>
  <si>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</si>
  <si>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</si>
  <si>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</si>
  <si>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</si>
  <si>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</si>
  <si>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</si>
  <si>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</si>
  <si>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</si>
  <si>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</si>
  <si>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</si>
  <si>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</si>
  <si>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</si>
  <si>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</si>
  <si>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Strom- und Gasnetz Wismar GmbH</t>
  </si>
  <si>
    <t>9870081000001</t>
  </si>
  <si>
    <t>Flöter Weg 6-12</t>
  </si>
  <si>
    <t>Wismar</t>
  </si>
  <si>
    <t xml:space="preserve">Netzgebiet SGW </t>
  </si>
  <si>
    <t xml:space="preserve">Station Wismar </t>
  </si>
  <si>
    <t>Netzgebiet SGW</t>
  </si>
  <si>
    <t>DE_GBD04</t>
  </si>
  <si>
    <t>DE_HMF04</t>
  </si>
  <si>
    <t>DE_HEF04</t>
  </si>
  <si>
    <t>DE_GMK04</t>
  </si>
  <si>
    <t>DE_GHA04</t>
  </si>
  <si>
    <t>DE_GKO04</t>
  </si>
  <si>
    <t>DE_GBH04</t>
  </si>
  <si>
    <t>DE_GPD04</t>
  </si>
  <si>
    <t>DE_GGA04</t>
  </si>
  <si>
    <t>DE_GBA04</t>
  </si>
  <si>
    <t>DE_GWA04</t>
  </si>
  <si>
    <t>DE_GGB04</t>
  </si>
  <si>
    <t>DE_GMF04</t>
  </si>
  <si>
    <t>DE_GHD04</t>
  </si>
  <si>
    <t>GASPOOLNH7008101</t>
  </si>
  <si>
    <t>MetoGroup</t>
  </si>
  <si>
    <t>frank.niemann@stadtwerke-Wismar.de</t>
  </si>
  <si>
    <t>Frank Niemann</t>
  </si>
  <si>
    <t>03841 233426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</si>
</sst>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3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3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4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5" borderId="0" xfId="69" applyNumberFormat="1" applyFont="1" applyFill="1" applyBorder="1" applyProtection="1"/>
    <xf numFmtId="180" fontId="12" fillId="75" borderId="0" xfId="69" applyNumberFormat="1" applyFont="1" applyFill="1" applyBorder="1" applyAlignment="1" applyProtection="1">
      <alignment horizontal="center"/>
    </xf>
    <xf numFmtId="181" fontId="12" fillId="75" borderId="0" xfId="69" applyNumberFormat="1" applyFont="1" applyFill="1" applyBorder="1" applyProtection="1"/>
    <xf numFmtId="181" fontId="12" fillId="75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5" borderId="40" xfId="69" applyNumberFormat="1" applyFont="1" applyFill="1" applyBorder="1" applyProtection="1"/>
    <xf numFmtId="180" fontId="12" fillId="75" borderId="40" xfId="69" applyNumberFormat="1" applyFont="1" applyFill="1" applyBorder="1" applyAlignment="1" applyProtection="1">
      <alignment horizontal="center"/>
    </xf>
    <xf numFmtId="181" fontId="12" fillId="75" borderId="40" xfId="69" applyNumberFormat="1" applyFont="1" applyFill="1" applyBorder="1" applyProtection="1"/>
    <xf numFmtId="181" fontId="12" fillId="75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33" borderId="17" xfId="0" quotePrefix="1" applyFont="1" applyFill="1" applyBorder="1" applyAlignment="1" applyProtection="1">
      <alignment horizontal="center"/>
      <protection locked="0"/>
    </xf>
    <xf numFmtId="49" fontId="12" fillId="0" borderId="0" xfId="3" applyNumberFormat="1" applyFont="1" applyFill="1" applyAlignment="1" applyProtection="1">
      <alignment horizontal="left"/>
      <protection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F29" sqref="F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42185</v>
      </c>
      <c r="E29" s="8"/>
      <c r="F29" s="8"/>
      <c r="G29" s="8"/>
      <c r="H29" s="8"/>
    </row>
    <row r="30" spans="2:12">
      <c r="B30" s="21" t="s">
        <v>350</v>
      </c>
      <c r="C30" s="338" t="s">
        <v>656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8" sqref="D2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42215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39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23970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681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680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682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398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Netzgebiet SGW</v>
      </c>
      <c r="E28" s="38"/>
      <c r="F28" s="11"/>
      <c r="G28" s="2"/>
    </row>
    <row r="29" spans="1:15">
      <c r="B29" s="15"/>
      <c r="C29" s="22" t="s">
        <v>398</v>
      </c>
      <c r="D29" s="45" t="s">
        <v>663</v>
      </c>
      <c r="E29" s="40"/>
      <c r="F29" s="11"/>
      <c r="G29" s="2"/>
    </row>
    <row r="30" spans="1:15">
      <c r="B30" s="15"/>
      <c r="C30" s="22" t="s">
        <v>399</v>
      </c>
      <c r="D30" s="45"/>
      <c r="E30" s="40"/>
      <c r="F30" s="47"/>
      <c r="G30" s="2"/>
    </row>
    <row r="31" spans="1:15">
      <c r="B31" s="15"/>
      <c r="C31" s="22" t="s">
        <v>424</v>
      </c>
      <c r="D31" s="46"/>
      <c r="E31" s="40"/>
      <c r="F31" s="47"/>
      <c r="G31" s="2"/>
    </row>
    <row r="32" spans="1:15">
      <c r="B32" s="15"/>
      <c r="C32" s="22" t="s">
        <v>425</v>
      </c>
      <c r="D32" s="46"/>
      <c r="E32" s="40"/>
      <c r="F32" s="47"/>
      <c r="G32" s="2"/>
    </row>
    <row r="33" spans="2:7">
      <c r="B33" s="15"/>
      <c r="C33" s="22" t="s">
        <v>426</v>
      </c>
      <c r="D33" s="45"/>
      <c r="E33" s="40"/>
      <c r="F33" s="47"/>
      <c r="G33" s="2"/>
    </row>
    <row r="34" spans="2:7">
      <c r="B34" s="15"/>
      <c r="C34" s="22" t="s">
        <v>427</v>
      </c>
      <c r="D34" s="46"/>
      <c r="E34" s="40"/>
      <c r="F34" s="47"/>
      <c r="G34" s="2"/>
    </row>
    <row r="35" spans="2:7">
      <c r="B35" s="15"/>
      <c r="C35" s="22" t="s">
        <v>428</v>
      </c>
      <c r="D35" s="46"/>
      <c r="E35" s="40"/>
      <c r="F35" s="47"/>
      <c r="G35" s="2"/>
    </row>
    <row r="36" spans="2:7">
      <c r="B36" s="15"/>
      <c r="C36" s="22" t="s">
        <v>429</v>
      </c>
      <c r="D36" s="46"/>
      <c r="E36" s="40"/>
      <c r="F36" s="47"/>
      <c r="G36" s="2"/>
    </row>
    <row r="37" spans="2:7">
      <c r="B37" s="15"/>
      <c r="C37" s="22" t="s">
        <v>430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Strom- und Gasnetz Wismar GmbH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Netzgebiet SGW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 t="str">
        <f>Netzbetreiber!$D$11</f>
        <v>9870081000001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260</v>
      </c>
      <c r="E11" s="15"/>
      <c r="H11" s="276" t="s">
        <v>257</v>
      </c>
      <c r="I11" s="276" t="s">
        <v>260</v>
      </c>
      <c r="J11" s="276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621</v>
      </c>
      <c r="D13" s="33" t="s">
        <v>622</v>
      </c>
      <c r="E13" s="15"/>
      <c r="H13" s="276" t="s">
        <v>622</v>
      </c>
      <c r="I13" s="276" t="s">
        <v>623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338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678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84</v>
      </c>
      <c r="C18" s="31" t="s">
        <v>371</v>
      </c>
      <c r="D18" s="49" t="s">
        <v>258</v>
      </c>
      <c r="E18" s="15"/>
      <c r="H18" s="274" t="s">
        <v>258</v>
      </c>
      <c r="I18" s="274" t="s">
        <v>135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581</v>
      </c>
      <c r="I19" s="275" t="s">
        <v>493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494</v>
      </c>
      <c r="I20" s="275" t="s">
        <v>495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85</v>
      </c>
      <c r="C22" s="8" t="s">
        <v>619</v>
      </c>
      <c r="D22" s="49" t="s">
        <v>615</v>
      </c>
      <c r="E22" s="15"/>
      <c r="H22" s="272" t="s">
        <v>615</v>
      </c>
      <c r="I22" s="272" t="s">
        <v>616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9" t="s">
        <v>624</v>
      </c>
      <c r="E23" s="15"/>
      <c r="H23" s="272" t="s">
        <v>618</v>
      </c>
      <c r="I23" s="8" t="s">
        <v>614</v>
      </c>
      <c r="J23" s="8"/>
      <c r="K23" s="8"/>
      <c r="L23" s="273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2" t="s">
        <v>617</v>
      </c>
      <c r="I24" s="272" t="s">
        <v>624</v>
      </c>
      <c r="J24" s="8"/>
      <c r="K24" s="8"/>
      <c r="L24" s="275" t="s">
        <v>625</v>
      </c>
      <c r="M24" s="275" t="s">
        <v>627</v>
      </c>
      <c r="N24" s="275" t="s">
        <v>626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373</v>
      </c>
      <c r="C26" s="6" t="s">
        <v>584</v>
      </c>
      <c r="D26" s="42" t="s">
        <v>136</v>
      </c>
      <c r="E26" s="15"/>
      <c r="H26" s="274" t="s">
        <v>134</v>
      </c>
      <c r="I26" s="274" t="s">
        <v>136</v>
      </c>
      <c r="J26" s="272"/>
      <c r="K26" s="272"/>
      <c r="L26" s="273"/>
    </row>
    <row r="27" spans="2:16" ht="15" customHeight="1">
      <c r="B27" s="7"/>
      <c r="C27" s="6" t="s">
        <v>628</v>
      </c>
      <c r="D27" s="42" t="s">
        <v>629</v>
      </c>
      <c r="E27" s="15"/>
      <c r="H27" s="308" t="s">
        <v>629</v>
      </c>
      <c r="I27" s="274" t="s">
        <v>630</v>
      </c>
      <c r="J27" s="274" t="s">
        <v>631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632</v>
      </c>
      <c r="I28" s="275" t="s">
        <v>633</v>
      </c>
      <c r="J28" s="275" t="s">
        <v>634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635</v>
      </c>
      <c r="I29" s="275" t="s">
        <v>636</v>
      </c>
      <c r="J29" s="275" t="s">
        <v>637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498</v>
      </c>
      <c r="C31" s="6" t="s">
        <v>583</v>
      </c>
      <c r="D31" s="42" t="s">
        <v>136</v>
      </c>
      <c r="E31" s="15"/>
      <c r="H31" s="274" t="s">
        <v>134</v>
      </c>
      <c r="I31" s="274" t="s">
        <v>136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638</v>
      </c>
      <c r="I32" s="275" t="s">
        <v>639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640</v>
      </c>
      <c r="I33" s="272" t="s">
        <v>635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555</v>
      </c>
      <c r="C35" s="24" t="s">
        <v>500</v>
      </c>
      <c r="D35" s="268">
        <v>15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556</v>
      </c>
      <c r="C37" s="5" t="s">
        <v>368</v>
      </c>
      <c r="D37" s="34">
        <v>1500000</v>
      </c>
      <c r="E37" s="15" t="s">
        <v>513</v>
      </c>
      <c r="I37" s="272"/>
      <c r="J37" s="272"/>
      <c r="K37" s="272"/>
      <c r="L37" s="272"/>
      <c r="M37" s="273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557</v>
      </c>
      <c r="C40" s="5" t="s">
        <v>369</v>
      </c>
      <c r="D40" s="36">
        <v>500</v>
      </c>
      <c r="E40" s="15" t="s">
        <v>547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60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45" t="s">
        <v>661</v>
      </c>
    </row>
    <row r="49" spans="3:4" ht="18" customHeight="1">
      <c r="C49" s="22" t="s">
        <v>593</v>
      </c>
      <c r="D49" s="45"/>
    </row>
    <row r="50" spans="3:4" ht="18" customHeight="1">
      <c r="C50" s="22" t="s">
        <v>594</v>
      </c>
      <c r="D50" s="45"/>
    </row>
    <row r="51" spans="3:4" ht="18" customHeight="1">
      <c r="C51" s="22" t="s">
        <v>595</v>
      </c>
      <c r="D51" s="45"/>
    </row>
    <row r="52" spans="3:4" ht="18" customHeight="1">
      <c r="C52" s="22" t="s">
        <v>596</v>
      </c>
      <c r="D52" s="45"/>
    </row>
    <row r="53" spans="3:4" ht="18" customHeight="1">
      <c r="C53" s="22" t="s">
        <v>597</v>
      </c>
      <c r="D53" s="45"/>
    </row>
    <row r="54" spans="3:4" ht="18" customHeight="1">
      <c r="C54" s="22" t="s">
        <v>598</v>
      </c>
      <c r="D54" s="45"/>
    </row>
    <row r="55" spans="3:4" ht="18" customHeight="1">
      <c r="C55" s="22" t="s">
        <v>599</v>
      </c>
      <c r="D55" s="45"/>
    </row>
    <row r="56" spans="3:4" ht="18" customHeight="1">
      <c r="C56" s="22" t="s">
        <v>600</v>
      </c>
      <c r="D56" s="45"/>
    </row>
    <row r="57" spans="3:4" ht="18" customHeight="1">
      <c r="C57" s="22" t="s">
        <v>601</v>
      </c>
      <c r="D57" s="45"/>
    </row>
    <row r="58" spans="3:4" ht="18" customHeight="1">
      <c r="C58" s="22" t="s">
        <v>602</v>
      </c>
      <c r="D58" s="45"/>
    </row>
    <row r="59" spans="3:4" ht="18" customHeight="1">
      <c r="C59" s="22" t="s">
        <v>603</v>
      </c>
      <c r="D59" s="45"/>
    </row>
    <row r="60" spans="3:4" ht="18" customHeight="1">
      <c r="C60" s="22" t="s">
        <v>604</v>
      </c>
      <c r="D60" s="45"/>
    </row>
    <row r="61" spans="3:4" ht="18" customHeight="1">
      <c r="C61" s="22" t="s">
        <v>605</v>
      </c>
      <c r="D61" s="45"/>
    </row>
    <row r="62" spans="3:4" ht="18" customHeight="1">
      <c r="C62" s="22" t="s">
        <v>606</v>
      </c>
      <c r="D62" s="45"/>
    </row>
  </sheetData>
  <sheetProtection sheet="1" objects="1" scenarios="1"/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theme="9" tint="-0.249977111117893"/>
    <pageSetUpPr fitToPage="1"/>
  </sheetPr>
  <dimension ref="A1:XFC78"/>
  <sheetViews>
    <sheetView showGridLines="0" zoomScale="70" zoomScaleNormal="70" workbookViewId="0"/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550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657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Netzgebiet SGW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340" t="s">
        <v>658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2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299">
        <v>1</v>
      </c>
      <c r="G10" s="57"/>
      <c r="H10" s="172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6" t="str">
        <f>INDEX('SLP-Verfahren'!D48:D62,'SLP-Temp-Gebiet #01'!F10)</f>
        <v xml:space="preserve">Netzgebiet SGW 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2" t="s">
        <v>590</v>
      </c>
      <c r="D13" s="342"/>
      <c r="E13" s="342"/>
      <c r="F13" s="183" t="s">
        <v>554</v>
      </c>
      <c r="G13" s="131" t="s">
        <v>552</v>
      </c>
      <c r="H13" s="265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3" t="s">
        <v>452</v>
      </c>
      <c r="D14" s="343"/>
      <c r="E14" s="90" t="s">
        <v>453</v>
      </c>
      <c r="F14" s="266" t="s">
        <v>85</v>
      </c>
      <c r="G14" s="267" t="s">
        <v>578</v>
      </c>
      <c r="H14" s="51">
        <v>0</v>
      </c>
      <c r="I14" s="57"/>
      <c r="J14" s="131"/>
      <c r="K14" s="131"/>
      <c r="L14" s="131"/>
      <c r="M14" s="131"/>
      <c r="N14" s="131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1:56" ht="19.5" customHeight="1">
      <c r="B15" s="131"/>
      <c r="C15" s="343" t="s">
        <v>390</v>
      </c>
      <c r="D15" s="343"/>
      <c r="E15" s="90" t="s">
        <v>453</v>
      </c>
      <c r="F15" s="266" t="s">
        <v>71</v>
      </c>
      <c r="G15" s="267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679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373</v>
      </c>
      <c r="AH15" s="264" t="s">
        <v>498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175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523</v>
      </c>
      <c r="C17" s="177"/>
      <c r="D17" s="17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529</v>
      </c>
      <c r="D18" s="131"/>
      <c r="E18" s="131"/>
      <c r="F18" s="49">
        <v>1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524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531</v>
      </c>
      <c r="D21" s="154" t="s">
        <v>522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543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509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MetoGroup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526</v>
      </c>
      <c r="D24" s="188"/>
      <c r="E24" s="157" t="s">
        <v>662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5" t="s">
        <v>527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>
        <v>10164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532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539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5" t="s">
        <v>142</v>
      </c>
      <c r="Q35" s="211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352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365</v>
      </c>
      <c r="K46" s="198"/>
      <c r="L46" s="198"/>
      <c r="M46" s="198"/>
      <c r="N46" s="198"/>
      <c r="O46" s="199"/>
    </row>
    <row r="47" spans="2:28">
      <c r="B47" s="193"/>
      <c r="C47" s="200" t="s">
        <v>351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365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585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1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524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531</v>
      </c>
      <c r="D55" s="154" t="s">
        <v>522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543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526</v>
      </c>
      <c r="D58" s="188"/>
      <c r="E58" s="157" t="str">
        <f>E24</f>
        <v xml:space="preserve">Station Wismar 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5" t="s">
        <v>527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>
        <f>E25</f>
        <v>10164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532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539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364</v>
      </c>
      <c r="D67" s="154" t="s">
        <v>363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5" t="s">
        <v>142</v>
      </c>
    </row>
    <row r="69" spans="2:15">
      <c r="B69" s="183"/>
      <c r="C69" s="187" t="s">
        <v>611</v>
      </c>
      <c r="D69" s="154" t="s">
        <v>612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5" t="s">
        <v>142</v>
      </c>
    </row>
    <row r="70" spans="2:15">
      <c r="B70" s="183"/>
      <c r="C70" s="192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5" t="s">
        <v>142</v>
      </c>
    </row>
    <row r="71" spans="2:15"/>
    <row r="72" spans="2:15" ht="15.75" customHeight="1">
      <c r="C72" s="344" t="s">
        <v>586</v>
      </c>
      <c r="D72" s="344"/>
      <c r="E72" s="344"/>
      <c r="F72" s="344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550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Netzgebiet SGW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2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299">
        <v>2</v>
      </c>
      <c r="G10" s="57"/>
      <c r="H10" s="172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6">
        <f>INDEX('SLP-Verfahren'!D48:D62,'SLP-Temp-Gebiet #02'!F10)</f>
        <v>0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2" t="s">
        <v>590</v>
      </c>
      <c r="D13" s="342"/>
      <c r="E13" s="342"/>
      <c r="F13" s="183" t="s">
        <v>554</v>
      </c>
      <c r="G13" s="131" t="s">
        <v>552</v>
      </c>
      <c r="H13" s="265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3" t="s">
        <v>452</v>
      </c>
      <c r="D14" s="343"/>
      <c r="E14" s="90" t="s">
        <v>453</v>
      </c>
      <c r="F14" s="266" t="s">
        <v>85</v>
      </c>
      <c r="G14" s="267" t="s">
        <v>578</v>
      </c>
      <c r="H14" s="51">
        <v>0</v>
      </c>
      <c r="I14" s="57"/>
      <c r="J14" s="131"/>
      <c r="K14" s="131"/>
      <c r="L14" s="131"/>
      <c r="M14" s="131"/>
      <c r="N14" s="131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1:56" ht="19.5" customHeight="1">
      <c r="B15" s="131"/>
      <c r="C15" s="343" t="s">
        <v>390</v>
      </c>
      <c r="D15" s="343"/>
      <c r="E15" s="90" t="s">
        <v>453</v>
      </c>
      <c r="F15" s="266" t="s">
        <v>71</v>
      </c>
      <c r="G15" s="267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534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373</v>
      </c>
      <c r="AH15" s="264" t="s">
        <v>498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301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523</v>
      </c>
      <c r="C17" s="177"/>
      <c r="D17" s="30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529</v>
      </c>
      <c r="D18" s="131"/>
      <c r="E18" s="131"/>
      <c r="F18" s="49">
        <v>2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524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531</v>
      </c>
      <c r="D21" s="154" t="s">
        <v>522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543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526</v>
      </c>
      <c r="D24" s="188"/>
      <c r="E24" s="157" t="s">
        <v>587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5" t="s">
        <v>527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 t="s">
        <v>366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532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539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5" t="s">
        <v>142</v>
      </c>
      <c r="Q35" s="211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352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365</v>
      </c>
      <c r="K46" s="198"/>
      <c r="L46" s="198"/>
      <c r="M46" s="198"/>
      <c r="N46" s="198"/>
      <c r="O46" s="199"/>
    </row>
    <row r="47" spans="2:28">
      <c r="B47" s="193"/>
      <c r="C47" s="200" t="s">
        <v>351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365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585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2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524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531</v>
      </c>
      <c r="D55" s="154" t="s">
        <v>522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543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526</v>
      </c>
      <c r="D58" s="188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5" t="s">
        <v>527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532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539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364</v>
      </c>
      <c r="D67" s="154" t="s">
        <v>363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5" t="s">
        <v>142</v>
      </c>
    </row>
    <row r="69" spans="2:15">
      <c r="B69" s="183"/>
      <c r="C69" s="187" t="s">
        <v>611</v>
      </c>
      <c r="D69" s="154" t="s">
        <v>612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5" t="s">
        <v>142</v>
      </c>
    </row>
    <row r="70" spans="2:15">
      <c r="B70" s="183"/>
      <c r="C70" s="192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5" t="s">
        <v>142</v>
      </c>
    </row>
    <row r="71" spans="2:15"/>
    <row r="72" spans="2:15" ht="15.75" customHeight="1">
      <c r="C72" s="344" t="s">
        <v>586</v>
      </c>
      <c r="D72" s="344"/>
      <c r="E72" s="344"/>
      <c r="F72" s="344"/>
    </row>
    <row r="73" spans="2:15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F27" sqref="F27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367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372</v>
      </c>
      <c r="D5" s="54" t="str">
        <f>Netzbetreiber!$D$9</f>
        <v>Strom- und Gasnetz Wismar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339</v>
      </c>
      <c r="D6" s="54" t="str">
        <f>Netzbetreiber!$D$28</f>
        <v>Netzgebiet SGW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 t="str">
        <f>Netzbetreiber!$D$11</f>
        <v>9870081000001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7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641</v>
      </c>
      <c r="M10" s="151" t="s">
        <v>650</v>
      </c>
      <c r="N10" s="152" t="s">
        <v>651</v>
      </c>
      <c r="O10" s="152" t="s">
        <v>652</v>
      </c>
      <c r="P10" s="153" t="s">
        <v>653</v>
      </c>
      <c r="Q10" s="147" t="s">
        <v>642</v>
      </c>
      <c r="R10" s="137" t="s">
        <v>643</v>
      </c>
      <c r="S10" s="138" t="s">
        <v>644</v>
      </c>
      <c r="T10" s="138" t="s">
        <v>645</v>
      </c>
      <c r="U10" s="138" t="s">
        <v>646</v>
      </c>
      <c r="V10" s="138" t="s">
        <v>647</v>
      </c>
      <c r="W10" s="138" t="s">
        <v>648</v>
      </c>
      <c r="X10" s="139" t="s">
        <v>649</v>
      </c>
      <c r="Y10" s="305" t="s">
        <v>654</v>
      </c>
    </row>
    <row r="11" spans="2:26" ht="15.75" thickBot="1">
      <c r="B11" s="140" t="s">
        <v>501</v>
      </c>
      <c r="C11" s="141" t="s">
        <v>516</v>
      </c>
      <c r="D11" s="304" t="s">
        <v>248</v>
      </c>
      <c r="E11" s="341" t="s">
        <v>4</v>
      </c>
      <c r="F11" s="306" t="str">
        <f>VLOOKUP($E11,'BDEW-Standard'!$B$3:$M$158,F$9,0)</f>
        <v>HK3</v>
      </c>
      <c r="H11" s="167">
        <f>ROUND(VLOOKUP($E11,'BDEW-Standard'!$B$3:$M$158,H$9,0),7)</f>
        <v>0.40409319999999999</v>
      </c>
      <c r="I11" s="167">
        <f>ROUND(VLOOKUP($E11,'BDEW-Standard'!$B$3:$M$158,I$9,0),7)</f>
        <v>-24.439296800000001</v>
      </c>
      <c r="J11" s="167">
        <f>ROUND(VLOOKUP($E11,'BDEW-Standard'!$B$3:$M$158,J$9,0),7)</f>
        <v>6.5718174999999999</v>
      </c>
      <c r="K11" s="167">
        <f>ROUND(VLOOKUP($E11,'BDEW-Standard'!$B$3:$M$158,K$9,0),7)</f>
        <v>0.71077100000000004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1.0561214000512988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2">
        <v>1</v>
      </c>
      <c r="C12" s="143" t="str">
        <f t="shared" ref="C12:C41" si="0">$D$6</f>
        <v>Netzgebiet SGW</v>
      </c>
      <c r="D12" s="63" t="s">
        <v>248</v>
      </c>
      <c r="E12" s="165" t="s">
        <v>666</v>
      </c>
      <c r="F12" s="307" t="str">
        <f>VLOOKUP($E12,'BDEW-Standard'!$B$3:$M$94,F$9,0)</f>
        <v>D14</v>
      </c>
      <c r="H12" s="278">
        <f>ROUND(VLOOKUP($E12,'BDEW-Standard'!$B$3:$M$94,H$9,0),7)</f>
        <v>3.1850190999999999</v>
      </c>
      <c r="I12" s="278">
        <f>ROUND(VLOOKUP($E12,'BDEW-Standard'!$B$3:$M$94,I$9,0),7)</f>
        <v>-37.412415500000002</v>
      </c>
      <c r="J12" s="278">
        <f>ROUND(VLOOKUP($E12,'BDEW-Standard'!$B$3:$M$94,J$9,0),7)</f>
        <v>6.1723179000000004</v>
      </c>
      <c r="K12" s="278">
        <f>ROUND(VLOOKUP($E12,'BDEW-Standard'!$B$3:$M$94,K$9,0),7)</f>
        <v>7.6109599999999999E-2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6" si="1">($H12/(1+($I12/($Q$9-$L12))^$J12)+$K12)+MAX($M12*$Q$9+$N12,$O12*$Q$9+$P12)</f>
        <v>0.95508749343949439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4" customFormat="1">
      <c r="B13" s="145">
        <v>2</v>
      </c>
      <c r="C13" s="146" t="str">
        <f t="shared" si="0"/>
        <v>Netzgebiet SGW</v>
      </c>
      <c r="D13" s="63" t="s">
        <v>248</v>
      </c>
      <c r="E13" s="165" t="s">
        <v>665</v>
      </c>
      <c r="F13" s="307" t="str">
        <f>VLOOKUP($E13,'BDEW-Standard'!$B$3:$M$94,F$9,0)</f>
        <v>D24</v>
      </c>
      <c r="H13" s="278">
        <f>ROUND(VLOOKUP($E13,'BDEW-Standard'!$B$3:$M$94,H$9,0),7)</f>
        <v>2.5187775000000001</v>
      </c>
      <c r="I13" s="278">
        <f>ROUND(VLOOKUP($E13,'BDEW-Standard'!$B$3:$M$94,I$9,0),7)</f>
        <v>-35.033375399999997</v>
      </c>
      <c r="J13" s="278">
        <f>ROUND(VLOOKUP($E13,'BDEW-Standard'!$B$3:$M$94,J$9,0),7)</f>
        <v>6.2240634000000004</v>
      </c>
      <c r="K13" s="278">
        <f>ROUND(VLOOKUP($E13,'BDEW-Standard'!$B$3:$M$94,K$9,0),7)</f>
        <v>0.10107820000000001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1.0146273685996503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5" si="2">7-SUM(R13:W13)</f>
        <v>1</v>
      </c>
      <c r="Y13" s="303"/>
      <c r="Z13" s="212"/>
    </row>
    <row r="14" spans="2:26" s="144" customFormat="1">
      <c r="B14" s="145">
        <v>3</v>
      </c>
      <c r="C14" s="146" t="str">
        <f t="shared" si="0"/>
        <v>Netzgebiet SGW</v>
      </c>
      <c r="D14" s="63" t="s">
        <v>248</v>
      </c>
      <c r="E14" s="165" t="s">
        <v>668</v>
      </c>
      <c r="F14" s="307" t="str">
        <f>VLOOKUP($E14,'BDEW-Standard'!$B$3:$M$94,F$9,0)</f>
        <v>HA4</v>
      </c>
      <c r="H14" s="278">
        <f>ROUND(VLOOKUP($E14,'BDEW-Standard'!$B$3:$M$94,H$9,0),7)</f>
        <v>4.0196902000000003</v>
      </c>
      <c r="I14" s="278">
        <f>ROUND(VLOOKUP($E14,'BDEW-Standard'!$B$3:$M$94,I$9,0),7)</f>
        <v>-37.828203700000003</v>
      </c>
      <c r="J14" s="278">
        <f>ROUND(VLOOKUP($E14,'BDEW-Standard'!$B$3:$M$94,J$9,0),7)</f>
        <v>8.1593368999999996</v>
      </c>
      <c r="K14" s="278">
        <f>ROUND(VLOOKUP($E14,'BDEW-Standard'!$B$3:$M$94,K$9,0),7)</f>
        <v>4.72845E-2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0.86486713303260787</v>
      </c>
      <c r="R14" s="281">
        <f>ROUND(VLOOKUP(MID($E14,4,3),'Wochentag F(WT)'!$B$7:$J$22,R$9,0),4)</f>
        <v>1.0358000000000001</v>
      </c>
      <c r="S14" s="281">
        <f>ROUND(VLOOKUP(MID($E14,4,3),'Wochentag F(WT)'!$B$7:$J$22,S$9,0),4)</f>
        <v>1.0232000000000001</v>
      </c>
      <c r="T14" s="281">
        <f>ROUND(VLOOKUP(MID($E14,4,3),'Wochentag F(WT)'!$B$7:$J$22,T$9,0),4)</f>
        <v>1.0251999999999999</v>
      </c>
      <c r="U14" s="281">
        <f>ROUND(VLOOKUP(MID($E14,4,3),'Wochentag F(WT)'!$B$7:$J$22,U$9,0),4)</f>
        <v>1.0295000000000001</v>
      </c>
      <c r="V14" s="281">
        <f>ROUND(VLOOKUP(MID($E14,4,3),'Wochentag F(WT)'!$B$7:$J$22,V$9,0),4)</f>
        <v>1.0253000000000001</v>
      </c>
      <c r="W14" s="281">
        <f>ROUND(VLOOKUP(MID($E14,4,3),'Wochentag F(WT)'!$B$7:$J$22,W$9,0),4)</f>
        <v>0.96750000000000003</v>
      </c>
      <c r="X14" s="282">
        <f t="shared" si="2"/>
        <v>0.89350000000000041</v>
      </c>
      <c r="Y14" s="303"/>
      <c r="Z14" s="212"/>
    </row>
    <row r="15" spans="2:26" s="144" customFormat="1">
      <c r="B15" s="145">
        <v>4</v>
      </c>
      <c r="C15" s="146" t="str">
        <f t="shared" si="0"/>
        <v>Netzgebiet SGW</v>
      </c>
      <c r="D15" s="63" t="s">
        <v>248</v>
      </c>
      <c r="E15" s="165" t="s">
        <v>667</v>
      </c>
      <c r="F15" s="307" t="str">
        <f>VLOOKUP($E15,'BDEW-Standard'!$B$3:$M$94,F$9,0)</f>
        <v>MK4</v>
      </c>
      <c r="H15" s="278">
        <f>ROUND(VLOOKUP($E15,'BDEW-Standard'!$B$3:$M$94,H$9,0),7)</f>
        <v>3.1177248</v>
      </c>
      <c r="I15" s="278">
        <f>ROUND(VLOOKUP($E15,'BDEW-Standard'!$B$3:$M$94,I$9,0),7)</f>
        <v>-35.871506199999999</v>
      </c>
      <c r="J15" s="278">
        <f>ROUND(VLOOKUP($E15,'BDEW-Standard'!$B$3:$M$94,J$9,0),7)</f>
        <v>7.5186828999999999</v>
      </c>
      <c r="K15" s="278">
        <f>ROUND(VLOOKUP($E15,'BDEW-Standard'!$B$3:$M$94,K$9,0),7)</f>
        <v>3.4330100000000002E-2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0.9622064996731321</v>
      </c>
      <c r="R15" s="281">
        <f>ROUND(VLOOKUP(MID($E15,4,3),'Wochentag F(WT)'!$B$7:$J$22,R$9,0),4)</f>
        <v>1.0699000000000001</v>
      </c>
      <c r="S15" s="281">
        <f>ROUND(VLOOKUP(MID($E15,4,3),'Wochentag F(WT)'!$B$7:$J$22,S$9,0),4)</f>
        <v>1.0365</v>
      </c>
      <c r="T15" s="281">
        <f>ROUND(VLOOKUP(MID($E15,4,3),'Wochentag F(WT)'!$B$7:$J$22,T$9,0),4)</f>
        <v>0.99329999999999996</v>
      </c>
      <c r="U15" s="281">
        <f>ROUND(VLOOKUP(MID($E15,4,3),'Wochentag F(WT)'!$B$7:$J$22,U$9,0),4)</f>
        <v>0.99480000000000002</v>
      </c>
      <c r="V15" s="281">
        <f>ROUND(VLOOKUP(MID($E15,4,3),'Wochentag F(WT)'!$B$7:$J$22,V$9,0),4)</f>
        <v>1.0659000000000001</v>
      </c>
      <c r="W15" s="281">
        <f>ROUND(VLOOKUP(MID($E15,4,3),'Wochentag F(WT)'!$B$7:$J$22,W$9,0),4)</f>
        <v>0.93620000000000003</v>
      </c>
      <c r="X15" s="282">
        <f t="shared" si="2"/>
        <v>0.90339999999999954</v>
      </c>
      <c r="Y15" s="303"/>
      <c r="Z15" s="212"/>
    </row>
    <row r="16" spans="2:26" s="144" customFormat="1">
      <c r="B16" s="145">
        <v>5</v>
      </c>
      <c r="C16" s="146" t="str">
        <f t="shared" si="0"/>
        <v>Netzgebiet SGW</v>
      </c>
      <c r="D16" s="63" t="s">
        <v>248</v>
      </c>
      <c r="E16" s="165" t="s">
        <v>670</v>
      </c>
      <c r="F16" s="307" t="str">
        <f>VLOOKUP($E16,'BDEW-Standard'!$B$3:$M$94,F$9,0)</f>
        <v>BH4</v>
      </c>
      <c r="H16" s="278">
        <f>ROUND(VLOOKUP($E16,'BDEW-Standard'!$B$3:$M$94,H$9,0),7)</f>
        <v>2.4595180999999999</v>
      </c>
      <c r="I16" s="278">
        <f>ROUND(VLOOKUP($E16,'BDEW-Standard'!$B$3:$M$94,I$9,0),7)</f>
        <v>-35.253212400000002</v>
      </c>
      <c r="J16" s="278">
        <f>ROUND(VLOOKUP($E16,'BDEW-Standard'!$B$3:$M$94,J$9,0),7)</f>
        <v>6.0587001000000003</v>
      </c>
      <c r="K16" s="278">
        <f>ROUND(VLOOKUP($E16,'BDEW-Standard'!$B$3:$M$94,K$9,0),7)</f>
        <v>0.16473699999999999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1.043802057143173</v>
      </c>
      <c r="R16" s="281">
        <f>ROUND(VLOOKUP(MID($E16,4,3),'Wochentag F(WT)'!$B$7:$J$22,R$9,0),4)</f>
        <v>0.97670000000000001</v>
      </c>
      <c r="S16" s="281">
        <f>ROUND(VLOOKUP(MID($E16,4,3),'Wochentag F(WT)'!$B$7:$J$22,S$9,0),4)</f>
        <v>1.0388999999999999</v>
      </c>
      <c r="T16" s="281">
        <f>ROUND(VLOOKUP(MID($E16,4,3),'Wochentag F(WT)'!$B$7:$J$22,T$9,0),4)</f>
        <v>1.0027999999999999</v>
      </c>
      <c r="U16" s="281">
        <f>ROUND(VLOOKUP(MID($E16,4,3),'Wochentag F(WT)'!$B$7:$J$22,U$9,0),4)</f>
        <v>1.0162</v>
      </c>
      <c r="V16" s="281">
        <f>ROUND(VLOOKUP(MID($E16,4,3),'Wochentag F(WT)'!$B$7:$J$22,V$9,0),4)</f>
        <v>1.0024</v>
      </c>
      <c r="W16" s="281">
        <f>ROUND(VLOOKUP(MID($E16,4,3),'Wochentag F(WT)'!$B$7:$J$22,W$9,0),4)</f>
        <v>1.0043</v>
      </c>
      <c r="X16" s="282">
        <f t="shared" si="2"/>
        <v>0.95870000000000122</v>
      </c>
      <c r="Y16" s="303"/>
      <c r="Z16" s="212"/>
    </row>
    <row r="17" spans="2:26" s="144" customFormat="1">
      <c r="B17" s="145">
        <v>6</v>
      </c>
      <c r="C17" s="146" t="str">
        <f t="shared" si="0"/>
        <v>Netzgebiet SGW</v>
      </c>
      <c r="D17" s="63" t="s">
        <v>248</v>
      </c>
      <c r="E17" s="165" t="s">
        <v>664</v>
      </c>
      <c r="F17" s="307" t="str">
        <f>VLOOKUP($E17,'BDEW-Standard'!$B$3:$M$94,F$9,0)</f>
        <v>BD4</v>
      </c>
      <c r="H17" s="278">
        <f>ROUND(VLOOKUP($E17,'BDEW-Standard'!$B$3:$M$94,H$9,0),7)</f>
        <v>3.75</v>
      </c>
      <c r="I17" s="278">
        <f>ROUND(VLOOKUP($E17,'BDEW-Standard'!$B$3:$M$94,I$9,0),7)</f>
        <v>-37.5</v>
      </c>
      <c r="J17" s="278">
        <f>ROUND(VLOOKUP($E17,'BDEW-Standard'!$B$3:$M$94,J$9,0),7)</f>
        <v>6.8</v>
      </c>
      <c r="K17" s="278">
        <f>ROUND(VLOOKUP($E17,'BDEW-Standard'!$B$3:$M$94,K$9,0),7)</f>
        <v>6.0911300000000002E-2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1.0126136468627658</v>
      </c>
      <c r="R17" s="281">
        <f>ROUND(VLOOKUP(MID($E17,4,3),'Wochentag F(WT)'!$B$7:$J$22,R$9,0),4)</f>
        <v>1.1052</v>
      </c>
      <c r="S17" s="281">
        <f>ROUND(VLOOKUP(MID($E17,4,3),'Wochentag F(WT)'!$B$7:$J$22,S$9,0),4)</f>
        <v>1.0857000000000001</v>
      </c>
      <c r="T17" s="281">
        <f>ROUND(VLOOKUP(MID($E17,4,3),'Wochentag F(WT)'!$B$7:$J$22,T$9,0),4)</f>
        <v>1.0378000000000001</v>
      </c>
      <c r="U17" s="281">
        <f>ROUND(VLOOKUP(MID($E17,4,3),'Wochentag F(WT)'!$B$7:$J$22,U$9,0),4)</f>
        <v>1.0622</v>
      </c>
      <c r="V17" s="281">
        <f>ROUND(VLOOKUP(MID($E17,4,3),'Wochentag F(WT)'!$B$7:$J$22,V$9,0),4)</f>
        <v>1.0266</v>
      </c>
      <c r="W17" s="281">
        <f>ROUND(VLOOKUP(MID($E17,4,3),'Wochentag F(WT)'!$B$7:$J$22,W$9,0),4)</f>
        <v>0.76290000000000002</v>
      </c>
      <c r="X17" s="282">
        <f t="shared" si="2"/>
        <v>0.91959999999999997</v>
      </c>
      <c r="Y17" s="303"/>
      <c r="Z17" s="212"/>
    </row>
    <row r="18" spans="2:26" s="144" customFormat="1">
      <c r="B18" s="145">
        <v>7</v>
      </c>
      <c r="C18" s="146" t="str">
        <f t="shared" si="0"/>
        <v>Netzgebiet SGW</v>
      </c>
      <c r="D18" s="63" t="s">
        <v>248</v>
      </c>
      <c r="E18" s="165" t="s">
        <v>671</v>
      </c>
      <c r="F18" s="307" t="str">
        <f>VLOOKUP($E18,'BDEW-Standard'!$B$3:$M$94,F$9,0)</f>
        <v>PD4</v>
      </c>
      <c r="H18" s="278">
        <f>ROUND(VLOOKUP($E18,'BDEW-Standard'!$B$3:$M$94,H$9,0),7)</f>
        <v>3.85</v>
      </c>
      <c r="I18" s="278">
        <f>ROUND(VLOOKUP($E18,'BDEW-Standard'!$B$3:$M$94,I$9,0),7)</f>
        <v>-37</v>
      </c>
      <c r="J18" s="278">
        <f>ROUND(VLOOKUP($E18,'BDEW-Standard'!$B$3:$M$94,J$9,0),7)</f>
        <v>10.2405021</v>
      </c>
      <c r="K18" s="278">
        <f>ROUND(VLOOKUP($E18,'BDEW-Standard'!$B$3:$M$94,K$9,0),7)</f>
        <v>4.6924300000000002E-2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0.75691065279879233</v>
      </c>
      <c r="R18" s="281">
        <f>ROUND(VLOOKUP(MID($E18,4,3),'Wochentag F(WT)'!$B$7:$J$22,R$9,0),4)</f>
        <v>1.0214000000000001</v>
      </c>
      <c r="S18" s="281">
        <f>ROUND(VLOOKUP(MID($E18,4,3),'Wochentag F(WT)'!$B$7:$J$22,S$9,0),4)</f>
        <v>1.0866</v>
      </c>
      <c r="T18" s="281">
        <f>ROUND(VLOOKUP(MID($E18,4,3),'Wochentag F(WT)'!$B$7:$J$22,T$9,0),4)</f>
        <v>1.0720000000000001</v>
      </c>
      <c r="U18" s="281">
        <f>ROUND(VLOOKUP(MID($E18,4,3),'Wochentag F(WT)'!$B$7:$J$22,U$9,0),4)</f>
        <v>1.0557000000000001</v>
      </c>
      <c r="V18" s="281">
        <f>ROUND(VLOOKUP(MID($E18,4,3),'Wochentag F(WT)'!$B$7:$J$22,V$9,0),4)</f>
        <v>1.0117</v>
      </c>
      <c r="W18" s="281">
        <f>ROUND(VLOOKUP(MID($E18,4,3),'Wochentag F(WT)'!$B$7:$J$22,W$9,0),4)</f>
        <v>0.90010000000000001</v>
      </c>
      <c r="X18" s="282">
        <f t="shared" si="2"/>
        <v>0.85249999999999915</v>
      </c>
      <c r="Y18" s="303"/>
      <c r="Z18" s="212"/>
    </row>
    <row r="19" spans="2:26" s="144" customFormat="1">
      <c r="B19" s="145">
        <v>8</v>
      </c>
      <c r="C19" s="146" t="str">
        <f t="shared" si="0"/>
        <v>Netzgebiet SGW</v>
      </c>
      <c r="D19" s="63" t="s">
        <v>248</v>
      </c>
      <c r="E19" s="165" t="s">
        <v>669</v>
      </c>
      <c r="F19" s="307" t="str">
        <f>VLOOKUP($E19,'BDEW-Standard'!$B$3:$M$94,F$9,0)</f>
        <v>KO4</v>
      </c>
      <c r="H19" s="278">
        <f>ROUND(VLOOKUP($E19,'BDEW-Standard'!$B$3:$M$94,H$9,0),7)</f>
        <v>3.4428942999999999</v>
      </c>
      <c r="I19" s="278">
        <f>ROUND(VLOOKUP($E19,'BDEW-Standard'!$B$3:$M$94,I$9,0),7)</f>
        <v>-36.659050399999998</v>
      </c>
      <c r="J19" s="278">
        <f>ROUND(VLOOKUP($E19,'BDEW-Standard'!$B$3:$M$94,J$9,0),7)</f>
        <v>7.6083226000000002</v>
      </c>
      <c r="K19" s="278">
        <f>ROUND(VLOOKUP($E19,'BDEW-Standard'!$B$3:$M$94,K$9,0),7)</f>
        <v>7.4685000000000001E-2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0.97768382110526542</v>
      </c>
      <c r="R19" s="281">
        <f>ROUND(VLOOKUP(MID($E19,4,3),'Wochentag F(WT)'!$B$7:$J$22,R$9,0),4)</f>
        <v>1.0354000000000001</v>
      </c>
      <c r="S19" s="281">
        <f>ROUND(VLOOKUP(MID($E19,4,3),'Wochentag F(WT)'!$B$7:$J$22,S$9,0),4)</f>
        <v>1.0523</v>
      </c>
      <c r="T19" s="281">
        <f>ROUND(VLOOKUP(MID($E19,4,3),'Wochentag F(WT)'!$B$7:$J$22,T$9,0),4)</f>
        <v>1.0448999999999999</v>
      </c>
      <c r="U19" s="281">
        <f>ROUND(VLOOKUP(MID($E19,4,3),'Wochentag F(WT)'!$B$7:$J$22,U$9,0),4)</f>
        <v>1.0494000000000001</v>
      </c>
      <c r="V19" s="281">
        <f>ROUND(VLOOKUP(MID($E19,4,3),'Wochentag F(WT)'!$B$7:$J$22,V$9,0),4)</f>
        <v>0.98850000000000005</v>
      </c>
      <c r="W19" s="281">
        <f>ROUND(VLOOKUP(MID($E19,4,3),'Wochentag F(WT)'!$B$7:$J$22,W$9,0),4)</f>
        <v>0.88600000000000001</v>
      </c>
      <c r="X19" s="282">
        <f t="shared" si="2"/>
        <v>0.94349999999999934</v>
      </c>
      <c r="Y19" s="303"/>
      <c r="Z19" s="212"/>
    </row>
    <row r="20" spans="2:26" s="144" customFormat="1">
      <c r="B20" s="145">
        <v>9</v>
      </c>
      <c r="C20" s="146" t="str">
        <f t="shared" si="0"/>
        <v>Netzgebiet SGW</v>
      </c>
      <c r="D20" s="63" t="s">
        <v>248</v>
      </c>
      <c r="E20" s="165" t="s">
        <v>672</v>
      </c>
      <c r="F20" s="307" t="str">
        <f>VLOOKUP($E20,'BDEW-Standard'!$B$3:$M$94,F$9,0)</f>
        <v>GA4</v>
      </c>
      <c r="H20" s="278">
        <f>ROUND(VLOOKUP($E20,'BDEW-Standard'!$B$3:$M$94,H$9,0),7)</f>
        <v>2.8195655999999998</v>
      </c>
      <c r="I20" s="278">
        <f>ROUND(VLOOKUP($E20,'BDEW-Standard'!$B$3:$M$94,I$9,0),7)</f>
        <v>-36</v>
      </c>
      <c r="J20" s="278">
        <f>ROUND(VLOOKUP($E20,'BDEW-Standard'!$B$3:$M$94,J$9,0),7)</f>
        <v>7.7368518000000002</v>
      </c>
      <c r="K20" s="278">
        <f>ROUND(VLOOKUP($E20,'BDEW-Standard'!$B$3:$M$94,K$9,0),7)</f>
        <v>0.157281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0.96576337685759206</v>
      </c>
      <c r="R20" s="281">
        <f>ROUND(VLOOKUP(MID($E20,4,3),'Wochentag F(WT)'!$B$7:$J$22,R$9,0),4)</f>
        <v>0.93220000000000003</v>
      </c>
      <c r="S20" s="281">
        <f>ROUND(VLOOKUP(MID($E20,4,3),'Wochentag F(WT)'!$B$7:$J$22,S$9,0),4)</f>
        <v>0.98939999999999995</v>
      </c>
      <c r="T20" s="281">
        <f>ROUND(VLOOKUP(MID($E20,4,3),'Wochentag F(WT)'!$B$7:$J$22,T$9,0),4)</f>
        <v>1.0033000000000001</v>
      </c>
      <c r="U20" s="281">
        <f>ROUND(VLOOKUP(MID($E20,4,3),'Wochentag F(WT)'!$B$7:$J$22,U$9,0),4)</f>
        <v>1.0108999999999999</v>
      </c>
      <c r="V20" s="281">
        <f>ROUND(VLOOKUP(MID($E20,4,3),'Wochentag F(WT)'!$B$7:$J$22,V$9,0),4)</f>
        <v>1.018</v>
      </c>
      <c r="W20" s="281">
        <f>ROUND(VLOOKUP(MID($E20,4,3),'Wochentag F(WT)'!$B$7:$J$22,W$9,0),4)</f>
        <v>1.0356000000000001</v>
      </c>
      <c r="X20" s="282">
        <f t="shared" si="2"/>
        <v>1.0106000000000002</v>
      </c>
      <c r="Y20" s="303"/>
      <c r="Z20" s="212"/>
    </row>
    <row r="21" spans="2:26" s="144" customFormat="1">
      <c r="B21" s="145">
        <v>10</v>
      </c>
      <c r="C21" s="146" t="str">
        <f t="shared" si="0"/>
        <v>Netzgebiet SGW</v>
      </c>
      <c r="D21" s="63" t="s">
        <v>248</v>
      </c>
      <c r="E21" s="165" t="s">
        <v>673</v>
      </c>
      <c r="F21" s="307" t="str">
        <f>VLOOKUP($E21,'BDEW-Standard'!$B$3:$M$94,F$9,0)</f>
        <v>BA4</v>
      </c>
      <c r="H21" s="278">
        <f>ROUND(VLOOKUP($E21,'BDEW-Standard'!$B$3:$M$94,H$9,0),7)</f>
        <v>0.93158890000000005</v>
      </c>
      <c r="I21" s="278">
        <f>ROUND(VLOOKUP($E21,'BDEW-Standard'!$B$3:$M$94,I$9,0),7)</f>
        <v>-33.35</v>
      </c>
      <c r="J21" s="278">
        <f>ROUND(VLOOKUP($E21,'BDEW-Standard'!$B$3:$M$94,J$9,0),7)</f>
        <v>5.7212303000000002</v>
      </c>
      <c r="K21" s="278">
        <f>ROUND(VLOOKUP($E21,'BDEW-Standard'!$B$3:$M$94,K$9,0),7)</f>
        <v>0.66564939999999995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1.0766391850538448</v>
      </c>
      <c r="R21" s="281">
        <f>ROUND(VLOOKUP(MID($E21,4,3),'Wochentag F(WT)'!$B$7:$J$22,R$9,0),4)</f>
        <v>1.0848</v>
      </c>
      <c r="S21" s="281">
        <f>ROUND(VLOOKUP(MID($E21,4,3),'Wochentag F(WT)'!$B$7:$J$22,S$9,0),4)</f>
        <v>1.1211</v>
      </c>
      <c r="T21" s="281">
        <f>ROUND(VLOOKUP(MID($E21,4,3),'Wochentag F(WT)'!$B$7:$J$22,T$9,0),4)</f>
        <v>1.0769</v>
      </c>
      <c r="U21" s="281">
        <f>ROUND(VLOOKUP(MID($E21,4,3),'Wochentag F(WT)'!$B$7:$J$22,U$9,0),4)</f>
        <v>1.1353</v>
      </c>
      <c r="V21" s="281">
        <f>ROUND(VLOOKUP(MID($E21,4,3),'Wochentag F(WT)'!$B$7:$J$22,V$9,0),4)</f>
        <v>1.1402000000000001</v>
      </c>
      <c r="W21" s="281">
        <f>ROUND(VLOOKUP(MID($E21,4,3),'Wochentag F(WT)'!$B$7:$J$22,W$9,0),4)</f>
        <v>0.48520000000000002</v>
      </c>
      <c r="X21" s="282">
        <f t="shared" si="2"/>
        <v>0.95650000000000013</v>
      </c>
      <c r="Y21" s="303"/>
      <c r="Z21" s="212"/>
    </row>
    <row r="22" spans="2:26" s="144" customFormat="1">
      <c r="B22" s="145">
        <v>11</v>
      </c>
      <c r="C22" s="146" t="str">
        <f t="shared" si="0"/>
        <v>Netzgebiet SGW</v>
      </c>
      <c r="D22" s="63" t="s">
        <v>248</v>
      </c>
      <c r="E22" s="165" t="s">
        <v>674</v>
      </c>
      <c r="F22" s="307" t="str">
        <f>VLOOKUP($E22,'BDEW-Standard'!$B$3:$M$94,F$9,0)</f>
        <v>WA4</v>
      </c>
      <c r="H22" s="278">
        <f>ROUND(VLOOKUP($E22,'BDEW-Standard'!$B$3:$M$94,H$9,0),7)</f>
        <v>1.0535874999999999</v>
      </c>
      <c r="I22" s="278">
        <f>ROUND(VLOOKUP($E22,'BDEW-Standard'!$B$3:$M$94,I$9,0),7)</f>
        <v>-35.299999999999997</v>
      </c>
      <c r="J22" s="278">
        <f>ROUND(VLOOKUP($E22,'BDEW-Standard'!$B$3:$M$94,J$9,0),7)</f>
        <v>4.8662747</v>
      </c>
      <c r="K22" s="278">
        <f>ROUND(VLOOKUP($E22,'BDEW-Standard'!$B$3:$M$94,K$9,0),7)</f>
        <v>0.68110420000000005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1.0844348950990992</v>
      </c>
      <c r="R22" s="281">
        <f>ROUND(VLOOKUP(MID($E22,4,3),'Wochentag F(WT)'!$B$7:$J$22,R$9,0),4)</f>
        <v>1.2457</v>
      </c>
      <c r="S22" s="281">
        <f>ROUND(VLOOKUP(MID($E22,4,3),'Wochentag F(WT)'!$B$7:$J$22,S$9,0),4)</f>
        <v>1.2615000000000001</v>
      </c>
      <c r="T22" s="281">
        <f>ROUND(VLOOKUP(MID($E22,4,3),'Wochentag F(WT)'!$B$7:$J$22,T$9,0),4)</f>
        <v>1.2706999999999999</v>
      </c>
      <c r="U22" s="281">
        <f>ROUND(VLOOKUP(MID($E22,4,3),'Wochentag F(WT)'!$B$7:$J$22,U$9,0),4)</f>
        <v>1.2430000000000001</v>
      </c>
      <c r="V22" s="281">
        <f>ROUND(VLOOKUP(MID($E22,4,3),'Wochentag F(WT)'!$B$7:$J$22,V$9,0),4)</f>
        <v>1.1275999999999999</v>
      </c>
      <c r="W22" s="281">
        <f>ROUND(VLOOKUP(MID($E22,4,3),'Wochentag F(WT)'!$B$7:$J$22,W$9,0),4)</f>
        <v>0.38769999999999999</v>
      </c>
      <c r="X22" s="282">
        <f t="shared" si="2"/>
        <v>0.46379999999999999</v>
      </c>
      <c r="Y22" s="303"/>
      <c r="Z22" s="212"/>
    </row>
    <row r="23" spans="2:26" s="144" customFormat="1">
      <c r="B23" s="145">
        <v>12</v>
      </c>
      <c r="C23" s="146" t="str">
        <f t="shared" si="0"/>
        <v>Netzgebiet SGW</v>
      </c>
      <c r="D23" s="63" t="s">
        <v>248</v>
      </c>
      <c r="E23" s="165" t="s">
        <v>675</v>
      </c>
      <c r="F23" s="307" t="str">
        <f>VLOOKUP($E23,'BDEW-Standard'!$B$3:$M$94,F$9,0)</f>
        <v>GB4</v>
      </c>
      <c r="H23" s="278">
        <f>ROUND(VLOOKUP($E23,'BDEW-Standard'!$B$3:$M$94,H$9,0),7)</f>
        <v>3.6017736</v>
      </c>
      <c r="I23" s="278">
        <f>ROUND(VLOOKUP($E23,'BDEW-Standard'!$B$3:$M$94,I$9,0),7)</f>
        <v>-37.882536799999997</v>
      </c>
      <c r="J23" s="278">
        <f>ROUND(VLOOKUP($E23,'BDEW-Standard'!$B$3:$M$94,J$9,0),7)</f>
        <v>6.9836070000000001</v>
      </c>
      <c r="K23" s="278">
        <f>ROUND(VLOOKUP($E23,'BDEW-Standard'!$B$3:$M$94,K$9,0),7)</f>
        <v>5.4826199999999999E-2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0.90239375975311864</v>
      </c>
      <c r="R23" s="281">
        <f>ROUND(VLOOKUP(MID($E23,4,3),'Wochentag F(WT)'!$B$7:$J$22,R$9,0),4)</f>
        <v>0.98970000000000002</v>
      </c>
      <c r="S23" s="281">
        <f>ROUND(VLOOKUP(MID($E23,4,3),'Wochentag F(WT)'!$B$7:$J$22,S$9,0),4)</f>
        <v>0.9627</v>
      </c>
      <c r="T23" s="281">
        <f>ROUND(VLOOKUP(MID($E23,4,3),'Wochentag F(WT)'!$B$7:$J$22,T$9,0),4)</f>
        <v>1.0507</v>
      </c>
      <c r="U23" s="281">
        <f>ROUND(VLOOKUP(MID($E23,4,3),'Wochentag F(WT)'!$B$7:$J$22,U$9,0),4)</f>
        <v>1.0551999999999999</v>
      </c>
      <c r="V23" s="281">
        <f>ROUND(VLOOKUP(MID($E23,4,3),'Wochentag F(WT)'!$B$7:$J$22,V$9,0),4)</f>
        <v>1.0297000000000001</v>
      </c>
      <c r="W23" s="281">
        <f>ROUND(VLOOKUP(MID($E23,4,3),'Wochentag F(WT)'!$B$7:$J$22,W$9,0),4)</f>
        <v>0.97670000000000001</v>
      </c>
      <c r="X23" s="282">
        <f t="shared" si="2"/>
        <v>0.9352999999999998</v>
      </c>
      <c r="Y23" s="303"/>
      <c r="Z23" s="212"/>
    </row>
    <row r="24" spans="2:26" s="144" customFormat="1">
      <c r="B24" s="145">
        <v>13</v>
      </c>
      <c r="C24" s="146" t="str">
        <f t="shared" si="0"/>
        <v>Netzgebiet SGW</v>
      </c>
      <c r="D24" s="63" t="s">
        <v>248</v>
      </c>
      <c r="E24" s="165" t="s">
        <v>676</v>
      </c>
      <c r="F24" s="307" t="str">
        <f>VLOOKUP($E24,'BDEW-Standard'!$B$3:$M$94,F$9,0)</f>
        <v>MF4</v>
      </c>
      <c r="H24" s="278">
        <f>ROUND(VLOOKUP($E24,'BDEW-Standard'!$B$3:$M$94,H$9,0),7)</f>
        <v>2.5187775000000001</v>
      </c>
      <c r="I24" s="278">
        <f>ROUND(VLOOKUP($E24,'BDEW-Standard'!$B$3:$M$94,I$9,0),7)</f>
        <v>-35.033375399999997</v>
      </c>
      <c r="J24" s="278">
        <f>ROUND(VLOOKUP($E24,'BDEW-Standard'!$B$3:$M$94,J$9,0),7)</f>
        <v>6.2240634000000004</v>
      </c>
      <c r="K24" s="278">
        <f>ROUND(VLOOKUP($E24,'BDEW-Standard'!$B$3:$M$94,K$9,0),7)</f>
        <v>0.10107820000000001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1.0146273685996503</v>
      </c>
      <c r="R24" s="281">
        <f>ROUND(VLOOKUP(MID($E24,4,3),'Wochentag F(WT)'!$B$7:$J$22,R$9,0),4)</f>
        <v>1.0354000000000001</v>
      </c>
      <c r="S24" s="281">
        <f>ROUND(VLOOKUP(MID($E24,4,3),'Wochentag F(WT)'!$B$7:$J$22,S$9,0),4)</f>
        <v>1.0523</v>
      </c>
      <c r="T24" s="281">
        <f>ROUND(VLOOKUP(MID($E24,4,3),'Wochentag F(WT)'!$B$7:$J$22,T$9,0),4)</f>
        <v>1.0448999999999999</v>
      </c>
      <c r="U24" s="281">
        <f>ROUND(VLOOKUP(MID($E24,4,3),'Wochentag F(WT)'!$B$7:$J$22,U$9,0),4)</f>
        <v>1.0494000000000001</v>
      </c>
      <c r="V24" s="281">
        <f>ROUND(VLOOKUP(MID($E24,4,3),'Wochentag F(WT)'!$B$7:$J$22,V$9,0),4)</f>
        <v>0.98850000000000005</v>
      </c>
      <c r="W24" s="281">
        <f>ROUND(VLOOKUP(MID($E24,4,3),'Wochentag F(WT)'!$B$7:$J$22,W$9,0),4)</f>
        <v>0.88600000000000001</v>
      </c>
      <c r="X24" s="282">
        <f t="shared" si="2"/>
        <v>0.94349999999999934</v>
      </c>
      <c r="Y24" s="303"/>
      <c r="Z24" s="212"/>
    </row>
    <row r="25" spans="2:26" s="144" customFormat="1">
      <c r="B25" s="145">
        <v>14</v>
      </c>
      <c r="C25" s="146" t="str">
        <f t="shared" si="0"/>
        <v>Netzgebiet SGW</v>
      </c>
      <c r="D25" s="63" t="s">
        <v>248</v>
      </c>
      <c r="E25" s="165" t="s">
        <v>677</v>
      </c>
      <c r="F25" s="307" t="str">
        <f>VLOOKUP($E25,'BDEW-Standard'!$B$3:$M$94,F$9,0)</f>
        <v>HD4</v>
      </c>
      <c r="H25" s="278">
        <f>ROUND(VLOOKUP($E25,'BDEW-Standard'!$B$3:$M$94,H$9,0),7)</f>
        <v>3.0084346000000002</v>
      </c>
      <c r="I25" s="278">
        <f>ROUND(VLOOKUP($E25,'BDEW-Standard'!$B$3:$M$94,I$9,0),7)</f>
        <v>-36.607845300000001</v>
      </c>
      <c r="J25" s="278">
        <f>ROUND(VLOOKUP($E25,'BDEW-Standard'!$B$3:$M$94,J$9,0),7)</f>
        <v>7.3211870000000001</v>
      </c>
      <c r="K25" s="278">
        <f>ROUND(VLOOKUP($E25,'BDEW-Standard'!$B$3:$M$94,K$9,0),7)</f>
        <v>0.15496599999999999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0.97302438504000599</v>
      </c>
      <c r="R25" s="281">
        <f>ROUND(VLOOKUP(MID($E25,4,3),'Wochentag F(WT)'!$B$7:$J$22,R$9,0),4)</f>
        <v>1.03</v>
      </c>
      <c r="S25" s="281">
        <f>ROUND(VLOOKUP(MID($E25,4,3),'Wochentag F(WT)'!$B$7:$J$22,S$9,0),4)</f>
        <v>1.03</v>
      </c>
      <c r="T25" s="281">
        <f>ROUND(VLOOKUP(MID($E25,4,3),'Wochentag F(WT)'!$B$7:$J$22,T$9,0),4)</f>
        <v>1.02</v>
      </c>
      <c r="U25" s="281">
        <f>ROUND(VLOOKUP(MID($E25,4,3),'Wochentag F(WT)'!$B$7:$J$22,U$9,0),4)</f>
        <v>1.03</v>
      </c>
      <c r="V25" s="281">
        <f>ROUND(VLOOKUP(MID($E25,4,3),'Wochentag F(WT)'!$B$7:$J$22,V$9,0),4)</f>
        <v>1.01</v>
      </c>
      <c r="W25" s="281">
        <f>ROUND(VLOOKUP(MID($E25,4,3),'Wochentag F(WT)'!$B$7:$J$22,W$9,0),4)</f>
        <v>0.93</v>
      </c>
      <c r="X25" s="282">
        <f t="shared" si="2"/>
        <v>0.95000000000000018</v>
      </c>
      <c r="Y25" s="303"/>
      <c r="Z25" s="212"/>
    </row>
    <row r="26" spans="2:26" s="144" customFormat="1">
      <c r="B26" s="145">
        <v>15</v>
      </c>
      <c r="C26" s="146" t="str">
        <f t="shared" si="0"/>
        <v>Netzgebiet SGW</v>
      </c>
      <c r="D26" s="63" t="s">
        <v>248</v>
      </c>
      <c r="E26" s="165" t="s">
        <v>4</v>
      </c>
      <c r="F26" s="307" t="str">
        <f>VLOOKUP($E26,'BDEW-Standard'!$B$3:$M$94,F$9,0)</f>
        <v>HK3</v>
      </c>
      <c r="H26" s="278">
        <f>ROUND(VLOOKUP($E26,'BDEW-Standard'!$B$3:$M$94,H$9,0),7)</f>
        <v>0.40409319999999999</v>
      </c>
      <c r="I26" s="278">
        <f>ROUND(VLOOKUP($E26,'BDEW-Standard'!$B$3:$M$94,I$9,0),7)</f>
        <v>-24.439296800000001</v>
      </c>
      <c r="J26" s="278">
        <f>ROUND(VLOOKUP($E26,'BDEW-Standard'!$B$3:$M$94,J$9,0),7)</f>
        <v>6.5718174999999999</v>
      </c>
      <c r="K26" s="278">
        <f>ROUND(VLOOKUP($E26,'BDEW-Standard'!$B$3:$M$94,K$9,0),7)</f>
        <v>0.71077100000000004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1.0561214000512988</v>
      </c>
      <c r="R26" s="281">
        <f>ROUND(VLOOKUP(MID($E26,4,3),'Wochentag F(WT)'!$B$7:$J$22,R$9,0),4)</f>
        <v>1</v>
      </c>
      <c r="S26" s="281">
        <f>ROUND(VLOOKUP(MID($E26,4,3),'Wochentag F(WT)'!$B$7:$J$22,S$9,0),4)</f>
        <v>1</v>
      </c>
      <c r="T26" s="281">
        <f>ROUND(VLOOKUP(MID($E26,4,3),'Wochentag F(WT)'!$B$7:$J$22,T$9,0),4)</f>
        <v>1</v>
      </c>
      <c r="U26" s="281">
        <f>ROUND(VLOOKUP(MID($E26,4,3),'Wochentag F(WT)'!$B$7:$J$22,U$9,0),4)</f>
        <v>1</v>
      </c>
      <c r="V26" s="281">
        <f>ROUND(VLOOKUP(MID($E26,4,3),'Wochentag F(WT)'!$B$7:$J$22,V$9,0),4)</f>
        <v>1</v>
      </c>
      <c r="W26" s="281">
        <f>ROUND(VLOOKUP(MID($E26,4,3),'Wochentag F(WT)'!$B$7:$J$22,W$9,0),4)</f>
        <v>1</v>
      </c>
      <c r="X26" s="282">
        <f t="shared" ref="X26" si="3">7-SUM(R26:W26)</f>
        <v>1</v>
      </c>
      <c r="Y26" s="303"/>
      <c r="Z26" s="212"/>
    </row>
    <row r="27" spans="2:26" s="144" customFormat="1">
      <c r="B27" s="145">
        <v>16</v>
      </c>
      <c r="C27" s="146" t="str">
        <f t="shared" si="0"/>
        <v>Netzgebiet SGW</v>
      </c>
      <c r="D27" s="63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4" customFormat="1">
      <c r="B28" s="145">
        <v>17</v>
      </c>
      <c r="C28" s="146" t="str">
        <f t="shared" si="0"/>
        <v>Netzgebiet SGW</v>
      </c>
      <c r="D28" s="63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4" customFormat="1">
      <c r="B29" s="145">
        <v>18</v>
      </c>
      <c r="C29" s="146" t="str">
        <f t="shared" si="0"/>
        <v>Netzgebiet SGW</v>
      </c>
      <c r="D29" s="63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4" customFormat="1">
      <c r="B30" s="145">
        <v>19</v>
      </c>
      <c r="C30" s="146" t="str">
        <f t="shared" si="0"/>
        <v>Netzgebiet SGW</v>
      </c>
      <c r="D30" s="63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4" customFormat="1">
      <c r="B31" s="145">
        <v>20</v>
      </c>
      <c r="C31" s="146" t="str">
        <f t="shared" si="0"/>
        <v>Netzgebiet SGW</v>
      </c>
      <c r="D31" s="63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4" customFormat="1">
      <c r="B32" s="145">
        <v>21</v>
      </c>
      <c r="C32" s="146" t="str">
        <f t="shared" si="0"/>
        <v>Netzgebiet SGW</v>
      </c>
      <c r="D32" s="63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4" customFormat="1">
      <c r="B33" s="145">
        <v>22</v>
      </c>
      <c r="C33" s="146" t="str">
        <f t="shared" si="0"/>
        <v>Netzgebiet SGW</v>
      </c>
      <c r="D33" s="63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4" customFormat="1">
      <c r="B34" s="145">
        <v>23</v>
      </c>
      <c r="C34" s="146" t="str">
        <f t="shared" si="0"/>
        <v>Netzgebiet SGW</v>
      </c>
      <c r="D34" s="63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4" customFormat="1">
      <c r="B35" s="145">
        <v>24</v>
      </c>
      <c r="C35" s="146" t="str">
        <f t="shared" si="0"/>
        <v>Netzgebiet SGW</v>
      </c>
      <c r="D35" s="63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4" customFormat="1">
      <c r="B36" s="145">
        <v>25</v>
      </c>
      <c r="C36" s="146" t="str">
        <f t="shared" si="0"/>
        <v>Netzgebiet SGW</v>
      </c>
      <c r="D36" s="63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4" customFormat="1">
      <c r="B37" s="145">
        <v>26</v>
      </c>
      <c r="C37" s="146" t="str">
        <f t="shared" si="0"/>
        <v>Netzgebiet SGW</v>
      </c>
      <c r="D37" s="63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4" customFormat="1">
      <c r="B38" s="145">
        <v>27</v>
      </c>
      <c r="C38" s="146" t="str">
        <f t="shared" si="0"/>
        <v>Netzgebiet SGW</v>
      </c>
      <c r="D38" s="63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4" customFormat="1">
      <c r="B39" s="145">
        <v>28</v>
      </c>
      <c r="C39" s="146" t="str">
        <f t="shared" si="0"/>
        <v>Netzgebiet SGW</v>
      </c>
      <c r="D39" s="63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4" customFormat="1">
      <c r="B40" s="145">
        <v>29</v>
      </c>
      <c r="C40" s="146" t="str">
        <f t="shared" si="0"/>
        <v>Netzgebiet SGW</v>
      </c>
      <c r="D40" s="63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4" customFormat="1">
      <c r="B41" s="145">
        <v>30</v>
      </c>
      <c r="C41" s="146" t="str">
        <f t="shared" si="0"/>
        <v>Netzgebiet SGW</v>
      </c>
      <c r="D41" s="63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Y41 F11:F41">
    <cfRule type="expression" dxfId="10" priority="9">
      <formula>ISERROR(F11)</formula>
    </cfRule>
  </conditionalFormatting>
  <conditionalFormatting sqref="Y12:Y41 E12:F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5" t="s">
        <v>349</v>
      </c>
      <c r="B1" s="216">
        <v>42173</v>
      </c>
      <c r="D1" s="132" t="s">
        <v>458</v>
      </c>
      <c r="F1" s="217" t="s">
        <v>551</v>
      </c>
      <c r="N1" s="218"/>
    </row>
    <row r="2" spans="1:14" ht="25.5">
      <c r="A2" s="219" t="s">
        <v>272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5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9" t="s">
        <v>245</v>
      </c>
      <c r="B96" s="129" t="s">
        <v>55</v>
      </c>
      <c r="C96" s="129" t="s">
        <v>323</v>
      </c>
      <c r="D96" s="235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9" t="s">
        <v>245</v>
      </c>
      <c r="B97" s="129" t="s">
        <v>60</v>
      </c>
      <c r="C97" s="129" t="s">
        <v>328</v>
      </c>
      <c r="D97" s="235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9" t="s">
        <v>245</v>
      </c>
      <c r="B98" s="129" t="s">
        <v>65</v>
      </c>
      <c r="C98" s="129" t="s">
        <v>333</v>
      </c>
      <c r="D98" s="235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9" t="s">
        <v>245</v>
      </c>
      <c r="B99" s="129" t="s">
        <v>18</v>
      </c>
      <c r="C99" s="129" t="s">
        <v>286</v>
      </c>
      <c r="D99" s="235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5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5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5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5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5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5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5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5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5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5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5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5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5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5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5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5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5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5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5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5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5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5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5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5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5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5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5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5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5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5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5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5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5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5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5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5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5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5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5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5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5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5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5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5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5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5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5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5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5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5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5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5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5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5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5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5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5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5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5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5"/>
  <sheetViews>
    <sheetView showGridLines="0" tabSelected="1" zoomScale="80" zoomScaleNormal="80" workbookViewId="0"/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Strom- und Gasnetz Wismar GmbH</v>
      </c>
      <c r="D4" s="77"/>
      <c r="G4" s="77"/>
      <c r="I4" s="77"/>
      <c r="J4" s="78"/>
      <c r="M4" s="87" t="s">
        <v>545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Netzgebiet SGW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 t="str">
        <f>Netzbetreiber!$D$11</f>
        <v>9870081000001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5" t="s">
        <v>462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374</v>
      </c>
      <c r="O9" s="93" t="s">
        <v>375</v>
      </c>
      <c r="P9" s="93" t="s">
        <v>376</v>
      </c>
      <c r="Q9" s="93" t="s">
        <v>377</v>
      </c>
      <c r="R9" s="93" t="s">
        <v>378</v>
      </c>
      <c r="S9" s="93" t="s">
        <v>379</v>
      </c>
      <c r="T9" s="93" t="s">
        <v>380</v>
      </c>
      <c r="U9" s="93" t="s">
        <v>381</v>
      </c>
      <c r="V9" s="93" t="s">
        <v>382</v>
      </c>
      <c r="W9" s="93" t="s">
        <v>383</v>
      </c>
      <c r="X9" s="93" t="s">
        <v>384</v>
      </c>
      <c r="Y9" s="93" t="s">
        <v>385</v>
      </c>
      <c r="Z9" s="93" t="s">
        <v>386</v>
      </c>
      <c r="AA9" s="93" t="s">
        <v>387</v>
      </c>
      <c r="AB9" s="93" t="s">
        <v>388</v>
      </c>
      <c r="AC9" s="94" t="s">
        <v>389</v>
      </c>
      <c r="AD9" s="94" t="s">
        <v>431</v>
      </c>
    </row>
    <row r="10" spans="2:30" ht="72" customHeight="1" thickBot="1">
      <c r="B10" s="350" t="s">
        <v>589</v>
      </c>
      <c r="C10" s="351"/>
      <c r="D10" s="95">
        <v>2</v>
      </c>
      <c r="E10" s="96" t="str">
        <f>IF(ISERROR(HLOOKUP(E$11,$M$9:$AD$33,$D10,0)),"",HLOOKUP(E$11,$M$9:$AD$33,$D10,0))</f>
        <v/>
      </c>
      <c r="F10" s="348" t="s">
        <v>400</v>
      </c>
      <c r="G10" s="348"/>
      <c r="H10" s="348"/>
      <c r="I10" s="348"/>
      <c r="J10" s="348"/>
      <c r="K10" s="348"/>
      <c r="L10" s="349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432</v>
      </c>
    </row>
    <row r="11" spans="2:30" ht="15.75" thickBot="1">
      <c r="B11" s="103" t="s">
        <v>423</v>
      </c>
      <c r="C11" s="104"/>
      <c r="D11" s="105">
        <v>3</v>
      </c>
      <c r="E11" s="106"/>
      <c r="F11" s="107" t="s">
        <v>391</v>
      </c>
      <c r="G11" s="108" t="s">
        <v>392</v>
      </c>
      <c r="H11" s="108" t="s">
        <v>393</v>
      </c>
      <c r="I11" s="108" t="s">
        <v>394</v>
      </c>
      <c r="J11" s="108" t="s">
        <v>395</v>
      </c>
      <c r="K11" s="108" t="s">
        <v>396</v>
      </c>
      <c r="L11" s="109" t="s">
        <v>397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401</v>
      </c>
      <c r="C12" s="111"/>
      <c r="D12" s="112">
        <v>4</v>
      </c>
      <c r="E12" s="314">
        <f>MIN(SUMPRODUCT($M$11:$AD$11,M12:AD12),1)</f>
        <v>1</v>
      </c>
      <c r="F12" s="311" t="s">
        <v>397</v>
      </c>
      <c r="G12" s="79" t="s">
        <v>397</v>
      </c>
      <c r="H12" s="79" t="s">
        <v>397</v>
      </c>
      <c r="I12" s="79" t="s">
        <v>397</v>
      </c>
      <c r="J12" s="79" t="s">
        <v>397</v>
      </c>
      <c r="K12" s="79" t="s">
        <v>397</v>
      </c>
      <c r="L12" s="80" t="s">
        <v>397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402</v>
      </c>
      <c r="C13" s="118"/>
      <c r="D13" s="112">
        <v>5</v>
      </c>
      <c r="E13" s="315">
        <f t="shared" ref="E13:E33" si="0">MIN(SUMPRODUCT($M$11:$AD$11,M13:AD13),1)</f>
        <v>0</v>
      </c>
      <c r="F13" s="312" t="s">
        <v>397</v>
      </c>
      <c r="G13" s="81" t="s">
        <v>397</v>
      </c>
      <c r="H13" s="81" t="s">
        <v>397</v>
      </c>
      <c r="I13" s="81" t="s">
        <v>397</v>
      </c>
      <c r="J13" s="81" t="s">
        <v>397</v>
      </c>
      <c r="K13" s="81" t="s">
        <v>397</v>
      </c>
      <c r="L13" s="82" t="s">
        <v>397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403</v>
      </c>
      <c r="C14" s="118"/>
      <c r="D14" s="112">
        <v>6</v>
      </c>
      <c r="E14" s="315">
        <f t="shared" si="0"/>
        <v>0</v>
      </c>
      <c r="F14" s="312" t="s">
        <v>397</v>
      </c>
      <c r="G14" s="81" t="s">
        <v>404</v>
      </c>
      <c r="H14" s="81" t="s">
        <v>404</v>
      </c>
      <c r="I14" s="81" t="s">
        <v>404</v>
      </c>
      <c r="J14" s="81" t="s">
        <v>404</v>
      </c>
      <c r="K14" s="81" t="s">
        <v>404</v>
      </c>
      <c r="L14" s="82" t="s">
        <v>404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405</v>
      </c>
      <c r="C15" s="118"/>
      <c r="D15" s="112">
        <v>7</v>
      </c>
      <c r="E15" s="315">
        <f t="shared" si="0"/>
        <v>0</v>
      </c>
      <c r="F15" s="312" t="s">
        <v>404</v>
      </c>
      <c r="G15" s="81" t="s">
        <v>396</v>
      </c>
      <c r="H15" s="81" t="s">
        <v>404</v>
      </c>
      <c r="I15" s="81" t="s">
        <v>404</v>
      </c>
      <c r="J15" s="81" t="s">
        <v>404</v>
      </c>
      <c r="K15" s="81" t="s">
        <v>404</v>
      </c>
      <c r="L15" s="82" t="s">
        <v>404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417</v>
      </c>
      <c r="C16" s="118"/>
      <c r="D16" s="112">
        <v>8</v>
      </c>
      <c r="E16" s="315">
        <f t="shared" si="0"/>
        <v>1</v>
      </c>
      <c r="F16" s="312" t="s">
        <v>404</v>
      </c>
      <c r="G16" s="81" t="s">
        <v>404</v>
      </c>
      <c r="H16" s="81" t="s">
        <v>404</v>
      </c>
      <c r="I16" s="81" t="s">
        <v>404</v>
      </c>
      <c r="J16" s="81" t="s">
        <v>397</v>
      </c>
      <c r="K16" s="81" t="s">
        <v>404</v>
      </c>
      <c r="L16" s="82" t="s">
        <v>404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418</v>
      </c>
      <c r="C17" s="118"/>
      <c r="D17" s="112">
        <v>9</v>
      </c>
      <c r="E17" s="315">
        <f t="shared" si="0"/>
        <v>1</v>
      </c>
      <c r="F17" s="312" t="s">
        <v>404</v>
      </c>
      <c r="G17" s="81" t="s">
        <v>404</v>
      </c>
      <c r="H17" s="81" t="s">
        <v>404</v>
      </c>
      <c r="I17" s="81" t="s">
        <v>404</v>
      </c>
      <c r="J17" s="81" t="s">
        <v>404</v>
      </c>
      <c r="K17" s="81" t="s">
        <v>404</v>
      </c>
      <c r="L17" s="82" t="s">
        <v>397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419</v>
      </c>
      <c r="C18" s="118"/>
      <c r="D18" s="112">
        <v>10</v>
      </c>
      <c r="E18" s="315">
        <f t="shared" si="0"/>
        <v>1</v>
      </c>
      <c r="F18" s="312" t="s">
        <v>397</v>
      </c>
      <c r="G18" s="81" t="s">
        <v>404</v>
      </c>
      <c r="H18" s="81" t="s">
        <v>404</v>
      </c>
      <c r="I18" s="81" t="s">
        <v>404</v>
      </c>
      <c r="J18" s="81" t="s">
        <v>404</v>
      </c>
      <c r="K18" s="81" t="s">
        <v>404</v>
      </c>
      <c r="L18" s="82" t="s">
        <v>404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406</v>
      </c>
      <c r="C19" s="118"/>
      <c r="D19" s="112">
        <v>11</v>
      </c>
      <c r="E19" s="315">
        <f t="shared" si="0"/>
        <v>1</v>
      </c>
      <c r="F19" s="312" t="s">
        <v>397</v>
      </c>
      <c r="G19" s="81" t="s">
        <v>397</v>
      </c>
      <c r="H19" s="81" t="s">
        <v>397</v>
      </c>
      <c r="I19" s="81" t="s">
        <v>397</v>
      </c>
      <c r="J19" s="81" t="s">
        <v>397</v>
      </c>
      <c r="K19" s="81" t="s">
        <v>397</v>
      </c>
      <c r="L19" s="82" t="s">
        <v>397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655</v>
      </c>
      <c r="C20" s="118"/>
      <c r="D20" s="112">
        <v>12</v>
      </c>
      <c r="E20" s="315">
        <f t="shared" si="0"/>
        <v>1</v>
      </c>
      <c r="F20" s="312" t="s">
        <v>404</v>
      </c>
      <c r="G20" s="81" t="s">
        <v>404</v>
      </c>
      <c r="H20" s="81" t="s">
        <v>404</v>
      </c>
      <c r="I20" s="81" t="s">
        <v>397</v>
      </c>
      <c r="J20" s="81" t="s">
        <v>404</v>
      </c>
      <c r="K20" s="81" t="s">
        <v>404</v>
      </c>
      <c r="L20" s="82" t="s">
        <v>404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420</v>
      </c>
      <c r="C21" s="118"/>
      <c r="D21" s="112">
        <v>13</v>
      </c>
      <c r="E21" s="315">
        <f t="shared" si="0"/>
        <v>1</v>
      </c>
      <c r="F21" s="312" t="s">
        <v>404</v>
      </c>
      <c r="G21" s="81" t="s">
        <v>404</v>
      </c>
      <c r="H21" s="81" t="s">
        <v>404</v>
      </c>
      <c r="I21" s="81" t="s">
        <v>404</v>
      </c>
      <c r="J21" s="81" t="s">
        <v>404</v>
      </c>
      <c r="K21" s="81" t="s">
        <v>404</v>
      </c>
      <c r="L21" s="82" t="s">
        <v>397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421</v>
      </c>
      <c r="C22" s="118"/>
      <c r="D22" s="112">
        <v>14</v>
      </c>
      <c r="E22" s="315">
        <f t="shared" si="0"/>
        <v>1</v>
      </c>
      <c r="F22" s="312" t="s">
        <v>397</v>
      </c>
      <c r="G22" s="81" t="s">
        <v>404</v>
      </c>
      <c r="H22" s="81" t="s">
        <v>404</v>
      </c>
      <c r="I22" s="81" t="s">
        <v>404</v>
      </c>
      <c r="J22" s="81" t="s">
        <v>404</v>
      </c>
      <c r="K22" s="81" t="s">
        <v>404</v>
      </c>
      <c r="L22" s="82" t="s">
        <v>404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422</v>
      </c>
      <c r="C23" s="118"/>
      <c r="D23" s="112">
        <v>15</v>
      </c>
      <c r="E23" s="315">
        <f t="shared" si="0"/>
        <v>0</v>
      </c>
      <c r="F23" s="312" t="s">
        <v>404</v>
      </c>
      <c r="G23" s="81" t="s">
        <v>404</v>
      </c>
      <c r="H23" s="81" t="s">
        <v>404</v>
      </c>
      <c r="I23" s="81" t="s">
        <v>397</v>
      </c>
      <c r="J23" s="81" t="s">
        <v>404</v>
      </c>
      <c r="K23" s="81" t="s">
        <v>404</v>
      </c>
      <c r="L23" s="82" t="s">
        <v>404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407</v>
      </c>
      <c r="C24" s="118"/>
      <c r="D24" s="112">
        <v>16</v>
      </c>
      <c r="E24" s="315">
        <f t="shared" si="0"/>
        <v>0</v>
      </c>
      <c r="F24" s="312" t="s">
        <v>397</v>
      </c>
      <c r="G24" s="81" t="s">
        <v>397</v>
      </c>
      <c r="H24" s="81" t="s">
        <v>397</v>
      </c>
      <c r="I24" s="81" t="s">
        <v>397</v>
      </c>
      <c r="J24" s="81" t="s">
        <v>397</v>
      </c>
      <c r="K24" s="81" t="s">
        <v>397</v>
      </c>
      <c r="L24" s="82" t="s">
        <v>397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408</v>
      </c>
      <c r="C25" s="118"/>
      <c r="D25" s="112">
        <v>17</v>
      </c>
      <c r="E25" s="315">
        <f t="shared" si="0"/>
        <v>0</v>
      </c>
      <c r="F25" s="312" t="s">
        <v>397</v>
      </c>
      <c r="G25" s="81" t="s">
        <v>397</v>
      </c>
      <c r="H25" s="81" t="s">
        <v>397</v>
      </c>
      <c r="I25" s="81" t="s">
        <v>397</v>
      </c>
      <c r="J25" s="81" t="s">
        <v>397</v>
      </c>
      <c r="K25" s="81" t="s">
        <v>397</v>
      </c>
      <c r="L25" s="82" t="s">
        <v>397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409</v>
      </c>
      <c r="C26" s="118"/>
      <c r="D26" s="112">
        <v>18</v>
      </c>
      <c r="E26" s="315">
        <f t="shared" si="0"/>
        <v>1</v>
      </c>
      <c r="F26" s="312" t="s">
        <v>397</v>
      </c>
      <c r="G26" s="81" t="s">
        <v>397</v>
      </c>
      <c r="H26" s="81" t="s">
        <v>397</v>
      </c>
      <c r="I26" s="81" t="s">
        <v>397</v>
      </c>
      <c r="J26" s="81" t="s">
        <v>397</v>
      </c>
      <c r="K26" s="81" t="s">
        <v>397</v>
      </c>
      <c r="L26" s="82" t="s">
        <v>397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410</v>
      </c>
      <c r="C27" s="118"/>
      <c r="D27" s="112">
        <v>19</v>
      </c>
      <c r="E27" s="315">
        <f t="shared" si="0"/>
        <v>0</v>
      </c>
      <c r="F27" s="312" t="s">
        <v>397</v>
      </c>
      <c r="G27" s="81" t="s">
        <v>397</v>
      </c>
      <c r="H27" s="81" t="s">
        <v>397</v>
      </c>
      <c r="I27" s="81" t="s">
        <v>397</v>
      </c>
      <c r="J27" s="81" t="s">
        <v>397</v>
      </c>
      <c r="K27" s="81" t="s">
        <v>397</v>
      </c>
      <c r="L27" s="82" t="s">
        <v>397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411</v>
      </c>
      <c r="C28" s="118"/>
      <c r="D28" s="112">
        <v>20</v>
      </c>
      <c r="E28" s="315">
        <f t="shared" si="0"/>
        <v>0</v>
      </c>
      <c r="F28" s="312" t="s">
        <v>397</v>
      </c>
      <c r="G28" s="81" t="s">
        <v>397</v>
      </c>
      <c r="H28" s="81" t="s">
        <v>397</v>
      </c>
      <c r="I28" s="81" t="s">
        <v>397</v>
      </c>
      <c r="J28" s="81" t="s">
        <v>397</v>
      </c>
      <c r="K28" s="81" t="s">
        <v>397</v>
      </c>
      <c r="L28" s="82" t="s">
        <v>397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412</v>
      </c>
      <c r="C29" s="118"/>
      <c r="D29" s="112">
        <v>21</v>
      </c>
      <c r="E29" s="315">
        <f t="shared" si="0"/>
        <v>0</v>
      </c>
      <c r="F29" s="312" t="s">
        <v>404</v>
      </c>
      <c r="G29" s="81" t="s">
        <v>404</v>
      </c>
      <c r="H29" s="81" t="s">
        <v>397</v>
      </c>
      <c r="I29" s="81" t="s">
        <v>404</v>
      </c>
      <c r="J29" s="81" t="s">
        <v>404</v>
      </c>
      <c r="K29" s="81" t="s">
        <v>404</v>
      </c>
      <c r="L29" s="82" t="s">
        <v>404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413</v>
      </c>
      <c r="C30" s="118"/>
      <c r="D30" s="112">
        <v>22</v>
      </c>
      <c r="E30" s="315">
        <f t="shared" si="0"/>
        <v>0</v>
      </c>
      <c r="F30" s="312" t="s">
        <v>396</v>
      </c>
      <c r="G30" s="81" t="s">
        <v>396</v>
      </c>
      <c r="H30" s="81" t="s">
        <v>396</v>
      </c>
      <c r="I30" s="81" t="s">
        <v>396</v>
      </c>
      <c r="J30" s="81" t="s">
        <v>396</v>
      </c>
      <c r="K30" s="81" t="s">
        <v>396</v>
      </c>
      <c r="L30" s="82" t="s">
        <v>397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414</v>
      </c>
      <c r="C31" s="118"/>
      <c r="D31" s="112">
        <v>23</v>
      </c>
      <c r="E31" s="315">
        <f t="shared" si="0"/>
        <v>1</v>
      </c>
      <c r="F31" s="312" t="s">
        <v>397</v>
      </c>
      <c r="G31" s="81" t="s">
        <v>397</v>
      </c>
      <c r="H31" s="81" t="s">
        <v>397</v>
      </c>
      <c r="I31" s="81" t="s">
        <v>397</v>
      </c>
      <c r="J31" s="81" t="s">
        <v>397</v>
      </c>
      <c r="K31" s="81" t="s">
        <v>397</v>
      </c>
      <c r="L31" s="82" t="s">
        <v>397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415</v>
      </c>
      <c r="C32" s="118"/>
      <c r="D32" s="112">
        <v>24</v>
      </c>
      <c r="E32" s="315">
        <f t="shared" si="0"/>
        <v>1</v>
      </c>
      <c r="F32" s="312" t="s">
        <v>397</v>
      </c>
      <c r="G32" s="81" t="s">
        <v>397</v>
      </c>
      <c r="H32" s="81" t="s">
        <v>397</v>
      </c>
      <c r="I32" s="81" t="s">
        <v>397</v>
      </c>
      <c r="J32" s="81" t="s">
        <v>397</v>
      </c>
      <c r="K32" s="81" t="s">
        <v>397</v>
      </c>
      <c r="L32" s="82" t="s">
        <v>397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416</v>
      </c>
      <c r="C33" s="124"/>
      <c r="D33" s="125">
        <v>25</v>
      </c>
      <c r="E33" s="316">
        <f t="shared" si="0"/>
        <v>0</v>
      </c>
      <c r="F33" s="313" t="s">
        <v>396</v>
      </c>
      <c r="G33" s="83" t="s">
        <v>396</v>
      </c>
      <c r="H33" s="83" t="s">
        <v>396</v>
      </c>
      <c r="I33" s="83" t="s">
        <v>396</v>
      </c>
      <c r="J33" s="83" t="s">
        <v>396</v>
      </c>
      <c r="K33" s="83" t="s">
        <v>396</v>
      </c>
      <c r="L33" s="84" t="s">
        <v>397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3" xr:uid="{00000000-0002-0000-0700-000002000000}">
      <formula1>"1, "</formula1>
    </dataValidation>
    <dataValidation type="list" allowBlank="1" showInputMessage="1" showErrorMessage="1" sqref="F12:L33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9" customWidth="1"/>
    <col min="16" max="16" width="16.5703125" style="237" customWidth="1"/>
    <col min="17" max="16384" width="11.42578125" style="237"/>
  </cols>
  <sheetData>
    <row r="1" spans="1:16" s="236" customFormat="1">
      <c r="A1" s="132" t="s">
        <v>459</v>
      </c>
      <c r="B1" s="129"/>
      <c r="D1" s="217" t="s">
        <v>551</v>
      </c>
    </row>
    <row r="2" spans="1:16">
      <c r="A2" s="237"/>
      <c r="B2" s="236" t="s">
        <v>460</v>
      </c>
    </row>
    <row r="3" spans="1:16" ht="20.100000000000001" customHeight="1">
      <c r="A3" s="352" t="s">
        <v>249</v>
      </c>
      <c r="B3" s="238" t="s">
        <v>86</v>
      </c>
      <c r="C3" s="239"/>
      <c r="D3" s="354" t="s">
        <v>461</v>
      </c>
      <c r="E3" s="355"/>
      <c r="F3" s="355"/>
      <c r="G3" s="355"/>
      <c r="H3" s="355"/>
      <c r="I3" s="355"/>
      <c r="J3" s="356"/>
      <c r="K3" s="240"/>
      <c r="L3" s="240"/>
      <c r="M3" s="240"/>
      <c r="N3" s="240"/>
      <c r="O3" s="241"/>
      <c r="P3" s="240"/>
    </row>
    <row r="4" spans="1:16" ht="20.100000000000001" customHeight="1">
      <c r="A4" s="353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370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370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Hans Goerlitz</cp:lastModifiedBy>
  <cp:lastPrinted>2015-03-20T22:59:10Z</cp:lastPrinted>
  <dcterms:created xsi:type="dcterms:W3CDTF">2015-01-15T05:25:41Z</dcterms:created>
  <dcterms:modified xsi:type="dcterms:W3CDTF">2021-09-23T07:06:31Z</dcterms:modified>
</cp:coreProperties>
</file>